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Default ContentType="image/jpeg" Extension="jpeg"/>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Users\corre\Downloads\"/>
    </mc:Choice>
  </mc:AlternateContent>
  <xr:revisionPtr revIDLastSave="0" documentId="8_{29594B4E-D41E-4E7A-A735-BB7B71884C3A}" xr6:coauthVersionLast="47" xr6:coauthVersionMax="47" xr10:uidLastSave="{00000000-0000-0000-0000-000000000000}"/>
  <bookViews>
    <workbookView xWindow="20370" yWindow="-120" windowWidth="29040" windowHeight="15720" tabRatio="829" firstSheet="2" activeTab="2" xr2:uid="{00000000-000D-0000-FFFF-FFFF00000000}"/>
  </bookViews>
  <sheets>
    <sheet name="Instructivo" sheetId="23" r:id="rId1"/>
    <sheet name="Definiciones" sheetId="22" r:id="rId2"/>
    <sheet name="Ambiente de Control" sheetId="24" r:id="rId3"/>
    <sheet name="Evaluación de Riesgos" sheetId="18" r:id="rId4"/>
    <sheet name="Actividades de Control" sheetId="17" r:id="rId5"/>
    <sheet name="Info y Comunicación" sheetId="19" r:id="rId6"/>
    <sheet name="Actividades de Monitoreo" sheetId="20" r:id="rId7"/>
    <sheet name="Analisis de Resultados" sheetId="29" r:id="rId8"/>
    <sheet name="Conclusiones (2)" sheetId="30" r:id="rId9"/>
    <sheet name="Hoja1" sheetId="28"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0" localSheetId="7">#REF!</definedName>
    <definedName name="\0">#REF!</definedName>
    <definedName name="\BD" localSheetId="7">#REF!</definedName>
    <definedName name="\BD">#REF!</definedName>
    <definedName name="\BJ" localSheetId="7">#REF!</definedName>
    <definedName name="\BJ">#REF!</definedName>
    <definedName name="\BP" localSheetId="7">#REF!</definedName>
    <definedName name="\BP">#REF!</definedName>
    <definedName name="\c" localSheetId="7">[1]BDATOS!#REF!</definedName>
    <definedName name="\c">[1]BDATOS!#REF!</definedName>
    <definedName name="\CA" localSheetId="7">#REF!</definedName>
    <definedName name="\CA">#REF!</definedName>
    <definedName name="\i" localSheetId="7">#REF!</definedName>
    <definedName name="\i">#REF!</definedName>
    <definedName name="\m" localSheetId="7">#REF!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 localSheetId="7">'[3]384-Acciones Corporacion'!#REF!</definedName>
    <definedName name="_296">'[3]384-Acciones Corporacion'!#REF!</definedName>
    <definedName name="_3__123Graph_AC86W90" hidden="1">[2]WIZ!$AF$19:$AF$30</definedName>
    <definedName name="_304" localSheetId="7">'[3]384-Acciones Corporacion'!#REF!</definedName>
    <definedName name="_304">'[3]384-Acciones Corporacion'!#REF!</definedName>
    <definedName name="_312" localSheetId="7">'[3]384-Acciones Corporacion'!#REF!</definedName>
    <definedName name="_312">'[3]384-Acciones Corporacion'!#REF!</definedName>
    <definedName name="_320" localSheetId="7">'[3]384-Acciones Corporacion'!#REF!</definedName>
    <definedName name="_320">'[3]384-Acciones Corporacion'!#REF!</definedName>
    <definedName name="_336" localSheetId="7">'[3]384-Acciones Corporacion'!#REF!</definedName>
    <definedName name="_336">'[3]384-Acciones Corporacion'!#REF!</definedName>
    <definedName name="_344" localSheetId="7">'[3]384-Acciones Corporacion'!#REF!</definedName>
    <definedName name="_344">'[3]384-Acciones Corporacion'!#REF!</definedName>
    <definedName name="_352" localSheetId="7">'[3]384-Acciones Corporacion'!#REF!</definedName>
    <definedName name="_352">'[3]384-Acciones Corporacion'!#REF!</definedName>
    <definedName name="_4__123Graph_BC86W_2" hidden="1">[2]WIZ!$F$32:$F$43</definedName>
    <definedName name="_5__123Graph_BC86W30" hidden="1">[2]WIZ!$AE$32:$AE$43</definedName>
    <definedName name="_522" localSheetId="7">'[3]384-Acciones Corporacion'!#REF!</definedName>
    <definedName name="_522">'[3]384-Acciones Corporacion'!#REF!</definedName>
    <definedName name="_530" localSheetId="7">'[3]384-Acciones Corporacion'!#REF!</definedName>
    <definedName name="_530">'[3]384-Acciones Corporacion'!#REF!</definedName>
    <definedName name="_546" localSheetId="7">'[3]384-Acciones Corporacion'!#REF!</definedName>
    <definedName name="_546">'[3]384-Acciones Corporacion'!#REF!</definedName>
    <definedName name="_554" localSheetId="7">'[3]384-Acciones Corporacion'!#REF!</definedName>
    <definedName name="_554">'[3]384-Acciones Corporacion'!#REF!</definedName>
    <definedName name="_562" localSheetId="7">'[3]384-Acciones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4" hidden="1">'Actividades de Control'!$C$1:$C$122</definedName>
    <definedName name="_xlnm._FilterDatabase" localSheetId="7" hidden="1">#REF!</definedName>
    <definedName name="_xlnm._FilterDatabase" localSheetId="3" hidden="1">'Evaluación de Riesgos'!$C$5:$C$160</definedName>
    <definedName name="_xlnm._FilterDatabase" localSheetId="5" hidden="1">'Info y Comunicación'!$C$1:$C$138</definedName>
    <definedName name="_xlnm._FilterDatabase" hidden="1">#REF!</definedName>
    <definedName name="_Key1" localSheetId="7" hidden="1">#REF!</definedName>
    <definedName name="_Key1" hidden="1">#REF!</definedName>
    <definedName name="_Key2" localSheetId="7" hidden="1">#REF!</definedName>
    <definedName name="_Key2" hidden="1">#REF!</definedName>
    <definedName name="_Order1" hidden="1">255</definedName>
    <definedName name="_Order2" hidden="1">255</definedName>
    <definedName name="_Parse_Out" localSheetId="7" hidden="1">'[4]B.BTA.S.VALORES'!#REF!</definedName>
    <definedName name="_Parse_Out" hidden="1">'[4]B.BTA.S.VALORES'!#REF!</definedName>
    <definedName name="_Sort" localSheetId="7" hidden="1">#REF!</definedName>
    <definedName name="_Sort" hidden="1">#REF!</definedName>
    <definedName name="A">[5]oficial!$A$1:$H$160</definedName>
    <definedName name="A_IMPRESIÓN_IM" localSheetId="7">#REF!</definedName>
    <definedName name="A_IMPRESIÓN_IM">#REF!</definedName>
    <definedName name="A205_" localSheetId="7">#REF!</definedName>
    <definedName name="A205_">#REF!</definedName>
    <definedName name="A242_" localSheetId="7">#REF!</definedName>
    <definedName name="A242_">#REF!</definedName>
    <definedName name="A255_" localSheetId="7">#REF!</definedName>
    <definedName name="A255_">#REF!</definedName>
    <definedName name="A498_" localSheetId="7">#REF!</definedName>
    <definedName name="A498_">#REF!</definedName>
    <definedName name="A534_">#N/A</definedName>
    <definedName name="A598_" localSheetId="7">#REF!</definedName>
    <definedName name="A598_">#REF!</definedName>
    <definedName name="A641_" localSheetId="7">#REF!</definedName>
    <definedName name="A641_">#REF!</definedName>
    <definedName name="A68_" localSheetId="7">#REF!</definedName>
    <definedName name="A68_">#REF!</definedName>
    <definedName name="A784_" localSheetId="7">#REF!</definedName>
    <definedName name="A784_">#REF!</definedName>
    <definedName name="ACCIONISTASTOTAL" localSheetId="7">'[6]Oper recip'!#REF!</definedName>
    <definedName name="ACCIONISTASTOTAL">'[6]Oper recip'!#REF!</definedName>
    <definedName name="Accounts" localSheetId="7">#REF!</definedName>
    <definedName name="Accounts">#REF!</definedName>
    <definedName name="Accrual___payment_of_dividends" localSheetId="7">#REF!</definedName>
    <definedName name="Accrual___payment_of_dividends">#REF!</definedName>
    <definedName name="ACT" localSheetId="7">#REF!</definedName>
    <definedName name="ACT">#REF!</definedName>
    <definedName name="AFANT" localSheetId="7">#REF!</definedName>
    <definedName name="AFANT">#REF!</definedName>
    <definedName name="AFHOY" localSheetId="7">#REF!</definedName>
    <definedName name="AFHOY">#REF!</definedName>
    <definedName name="ahaccionistas01" localSheetId="7">#REF!</definedName>
    <definedName name="ahaccionistas01">#REF!</definedName>
    <definedName name="AJPAAG" localSheetId="7">#REF!</definedName>
    <definedName name="AJPAAG">#REF!</definedName>
    <definedName name="Anexo" localSheetId="0" hidden="1">{"'para SB'!$A$1420:$F$1479"}</definedName>
    <definedName name="Anexo" hidden="1">{"'para SB'!$A$1420:$F$1479"}</definedName>
    <definedName name="año" localSheetId="7">#REF!</definedName>
    <definedName name="año">#REF!</definedName>
    <definedName name="AÑO_A_PROCESAR" localSheetId="7">#REF!</definedName>
    <definedName name="AÑO_A_PROCESAR">#REF!</definedName>
    <definedName name="año1" localSheetId="7">#REF!</definedName>
    <definedName name="año1">#REF!</definedName>
    <definedName name="AÑOS_A_PROCESAR" localSheetId="7">#REF!</definedName>
    <definedName name="AÑOS_A_PROCESAR">#REF!</definedName>
    <definedName name="AppName" localSheetId="7">#REF!</definedName>
    <definedName name="AppName">#REF!</definedName>
    <definedName name="_xlnm.Print_Area" localSheetId="7">#REF!</definedName>
    <definedName name="_xlnm.Print_Area">#REF!</definedName>
    <definedName name="Área_de_impresión1" localSheetId="7">#REF!</definedName>
    <definedName name="Área_de_impresión1">#REF!</definedName>
    <definedName name="AS2DocOpenMode" hidden="1">"AS2DocumentEdit"</definedName>
    <definedName name="AS2ReportLS" hidden="1">1</definedName>
    <definedName name="AS2SyncStepLS" hidden="1">0</definedName>
    <definedName name="AS2TickmarkLS" localSheetId="7" hidden="1">#REF!</definedName>
    <definedName name="AS2TickmarkLS" hidden="1">#REF!</definedName>
    <definedName name="AS2VersionLS" hidden="1">300</definedName>
    <definedName name="ASFSD" localSheetId="7">#REF!</definedName>
    <definedName name="ASFSD">#REF!</definedName>
    <definedName name="Assertions" localSheetId="7">#REF!</definedName>
    <definedName name="Assertions">#REF!</definedName>
    <definedName name="BASE" localSheetId="7">#REF!</definedName>
    <definedName name="BASE">#REF!</definedName>
    <definedName name="BCE" localSheetId="7">#REF!</definedName>
    <definedName name="BCE">#REF!</definedName>
    <definedName name="BCEBONOS" localSheetId="7">#REF!</definedName>
    <definedName name="BCEBONOS">#REF!</definedName>
    <definedName name="BCECAMBIOS" localSheetId="7">#REF!</definedName>
    <definedName name="BCECAMBIOS">#REF!</definedName>
    <definedName name="BCEEMPRESA" localSheetId="7">#REF!</definedName>
    <definedName name="BCEEMPRESA">#REF!</definedName>
    <definedName name="BCERENTA" localSheetId="7">#REF!</definedName>
    <definedName name="BCERENTA">#REF!</definedName>
    <definedName name="BCETESOROS" localSheetId="7">#REF!</definedName>
    <definedName name="BCETESOROS">#REF!</definedName>
    <definedName name="BG_Del" hidden="1">15</definedName>
    <definedName name="BG_Ins" hidden="1">4</definedName>
    <definedName name="BG_Mod" hidden="1">6</definedName>
    <definedName name="BLOQUE" localSheetId="7">#REF!</definedName>
    <definedName name="BLOQUE">#REF!</definedName>
    <definedName name="BuiltIn_Print_Area___0" localSheetId="7">#REF!</definedName>
    <definedName name="BuiltIn_Print_Area___0">#REF!</definedName>
    <definedName name="BuiltIn_Print_Titles___0" localSheetId="7">#REF!</definedName>
    <definedName name="BuiltIn_Print_Titles___0">#REF!</definedName>
    <definedName name="CALCULO" localSheetId="7">[1]BDATOS!#REF!</definedName>
    <definedName name="CALCULO">[1]BDATOS!#REF!</definedName>
    <definedName name="CAR" localSheetId="7">#REF!</definedName>
    <definedName name="CAR">#REF!</definedName>
    <definedName name="CAVR" localSheetId="7">#REF!</definedName>
    <definedName name="CAVR">#REF!</definedName>
    <definedName name="cdtaccinistas01" localSheetId="7">#REF!</definedName>
    <definedName name="cdtaccinistas01">#REF!</definedName>
    <definedName name="CO.Otros_Cuentas" localSheetId="7">#REF!</definedName>
    <definedName name="CO.Otros_Cuentas">#REF!</definedName>
    <definedName name="CO.Otros_Monto" localSheetId="7">#REF!</definedName>
    <definedName name="CO.Otros_Monto">#REF!</definedName>
    <definedName name="CO.Riesgo_Cuentas" localSheetId="7">#REF!</definedName>
    <definedName name="CO.Riesgo_Cuentas">#REF!</definedName>
    <definedName name="CO.Riesgo_Monto" localSheetId="7">#REF!</definedName>
    <definedName name="CO.Riesgo_Monto">#REF!</definedName>
    <definedName name="CO.Tesoreria_Cuentas" localSheetId="7">#REF!</definedName>
    <definedName name="CO.Tesoreria_Cuentas">#REF!</definedName>
    <definedName name="COMP3CM" localSheetId="7">#REF!,#REF!,#REF!,#REF!,#REF!</definedName>
    <definedName name="COMP3CM">#REF!,#REF!,#REF!,#REF!,#REF!</definedName>
    <definedName name="COMP3PM" localSheetId="7">#REF!,#REF!,#REF!,#REF!</definedName>
    <definedName name="COMP3PM">#REF!,#REF!,#REF!,#REF!</definedName>
    <definedName name="COMP3PY" localSheetId="7">#REF!,#REF!,#REF!,#REF!,#REF!</definedName>
    <definedName name="COMP3PY">#REF!,#REF!,#REF!,#REF!,#REF!</definedName>
    <definedName name="COMPCM" localSheetId="7">#REF!,#REF!,#REF!,#REF!,#REF!,#REF!,#REF!</definedName>
    <definedName name="COMPCM">#REF!,#REF!,#REF!,#REF!,#REF!,#REF!,#REF!</definedName>
    <definedName name="COMPPM" localSheetId="7">#REF!,#REF!,#REF!,#REF!,#REF!,#REF!,#REF!</definedName>
    <definedName name="COMPPM">#REF!,#REF!,#REF!,#REF!,#REF!,#REF!,#REF!</definedName>
    <definedName name="COMPPY" localSheetId="7">#REF!,#REF!,#REF!,#REF!,#REF!,#REF!,#REF!,#REF!</definedName>
    <definedName name="COMPPY">#REF!,#REF!,#REF!,#REF!,#REF!,#REF!,#REF!,#REF!</definedName>
    <definedName name="con10_partic" localSheetId="7">#REF!</definedName>
    <definedName name="con10_partic">#REF!</definedName>
    <definedName name="conahdirectivos01" localSheetId="7">#REF!</definedName>
    <definedName name="conahdirectivos01">#REF!</definedName>
    <definedName name="conahojunta01" localSheetId="7">#REF!</definedName>
    <definedName name="conahojunta01">#REF!</definedName>
    <definedName name="concdtdirectivos01" localSheetId="7">#REF!</definedName>
    <definedName name="concdtdirectivos01">#REF!</definedName>
    <definedName name="concdtentidades01" localSheetId="7">#REF!</definedName>
    <definedName name="concdtentidades01">#REF!</definedName>
    <definedName name="CONGASTO" localSheetId="7">[1]BDATOS!#REF!</definedName>
    <definedName name="CONGASTO">[1]BDATOS!#REF!</definedName>
    <definedName name="conotros" localSheetId="7">#REF!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 localSheetId="7">[9]!ContAverage</definedName>
    <definedName name="ContAverage" localSheetId="8">[9]!ContAverage</definedName>
    <definedName name="ContAverage">[9]!ContAverage</definedName>
    <definedName name="CORDEN" localSheetId="7">#REF!</definedName>
    <definedName name="CORDEN">#REF!</definedName>
    <definedName name="CREDITO">[10]oficial!$H$1:$H$160</definedName>
    <definedName name="CUENTA96" localSheetId="7">#REF!</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localSheetId="7" hidden="1">'[4]B.BTA.S.VALORES'!#REF!</definedName>
    <definedName name="Div" hidden="1">'[4]B.BTA.S.VALORES'!#REF!</definedName>
    <definedName name="Divide" localSheetId="7">#REF!</definedName>
    <definedName name="Divide">#REF!</definedName>
    <definedName name="doce">'[13]Anexo-Participaciones Dic-11'!$E$22</definedName>
    <definedName name="ELIEXTRA">'[14]ELIMINA EXT'!$A$3:$Y$217</definedName>
    <definedName name="ELIFIL">[14]ELIMINA!$A$4:$AM$231</definedName>
    <definedName name="ELIMEXT" localSheetId="7">#REF!</definedName>
    <definedName name="ELIMEXT">#REF!</definedName>
    <definedName name="ELIMINA" localSheetId="7">#REF!</definedName>
    <definedName name="ELIMINA">#REF!</definedName>
    <definedName name="entidades" localSheetId="7">#REF!</definedName>
    <definedName name="entidades">#REF!</definedName>
    <definedName name="EPIANDES" localSheetId="7">#REF!</definedName>
    <definedName name="EPIANDES">#REF!</definedName>
    <definedName name="ESCRIBA" localSheetId="7">[1]BDATOS!#REF!</definedName>
    <definedName name="ESCRIBA">[1]BDATOS!#REF!</definedName>
    <definedName name="ESTADOS_FINANCIEROS_A_PROCESAR" localSheetId="7">#REF!</definedName>
    <definedName name="ESTADOS_FINANCIEROS_A_PROCESAR">#REF!</definedName>
    <definedName name="ESTCAM" localSheetId="7">#REF!</definedName>
    <definedName name="ESTCAM">#REF!</definedName>
    <definedName name="ET" localSheetId="7">#REF!</definedName>
    <definedName name="ET">#REF!</definedName>
    <definedName name="FailureActual" localSheetId="7">[9]!FailureActual</definedName>
    <definedName name="FailureActual" localSheetId="8">[9]!FailureActual</definedName>
    <definedName name="FailureActual">[9]!FailureActual</definedName>
    <definedName name="FailurePlan" localSheetId="7">[9]!FailurePlan</definedName>
    <definedName name="FailurePlan" localSheetId="8">[9]!FailurePlan</definedName>
    <definedName name="FailurePlan">[9]!FailurePlan</definedName>
    <definedName name="FILEXT">[14]FILIALEXT!$A$1:$L$4091</definedName>
    <definedName name="FILIAL">[14]FILIAL!$A$3:$AE$5414</definedName>
    <definedName name="FleetAdj" localSheetId="7">[9]!FleetAdj</definedName>
    <definedName name="FleetAdj" localSheetId="8">[9]!FleetAdj</definedName>
    <definedName name="FleetAdj">[9]!FleetAdj</definedName>
    <definedName name="FleetNoAdj" localSheetId="7">[9]!FleetNoAdj</definedName>
    <definedName name="FleetNoAdj" localSheetId="8">[9]!FleetNoAdj</definedName>
    <definedName name="FleetNoAdj">[9]!FleetNoAdj</definedName>
    <definedName name="GastosRegionales_Monto">'[15]Gastos regionales'!$G$8:$G$47</definedName>
    <definedName name="gorr">"Botón 17"</definedName>
    <definedName name="HTML_CodePage" hidden="1">1252</definedName>
    <definedName name="HTML_Control" localSheetId="0" hidden="1">{"'para SB'!$A$1420:$F$1479"}</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 localSheetId="7">#REF!</definedName>
    <definedName name="INDI">#REF!</definedName>
    <definedName name="INDICACART" localSheetId="7">#REF!</definedName>
    <definedName name="INDICACART">#REF!</definedName>
    <definedName name="INVER" localSheetId="7">#REF!</definedName>
    <definedName name="INVER">#REF!</definedName>
    <definedName name="junio111" localSheetId="7">#REF!</definedName>
    <definedName name="junio111">#REF!</definedName>
    <definedName name="JUNTA" localSheetId="7">#REF!</definedName>
    <definedName name="JUNTA">#REF!</definedName>
    <definedName name="JUNTA1" localSheetId="7">#REF!</definedName>
    <definedName name="JUNTA1">#REF!</definedName>
    <definedName name="LLPModel" localSheetId="7">[16]!LLPModel</definedName>
    <definedName name="LLPModel" localSheetId="8">[16]!LLPModel</definedName>
    <definedName name="LLPModel">[16]!LLPModel</definedName>
    <definedName name="MATRIZ">[17]MATRIZ!$A$7:$BY$4664</definedName>
    <definedName name="MC.PL_Cuentas" localSheetId="7">#REF!</definedName>
    <definedName name="MC.PL_Cuentas">#REF!</definedName>
    <definedName name="MC.PL_Monto" localSheetId="7">#REF!</definedName>
    <definedName name="MC.PL_Monto">#REF!</definedName>
    <definedName name="MESANT" localSheetId="7">#REF!</definedName>
    <definedName name="MESANT">#REF!</definedName>
    <definedName name="MESES">'[18]7'!$AL$3:$AL$7</definedName>
    <definedName name="MESHOY" localSheetId="7">#REF!</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 localSheetId="7">#REF!</definedName>
    <definedName name="MultiSelectNames">#REF!</definedName>
    <definedName name="Nivel" localSheetId="7">#REF!</definedName>
    <definedName name="Nivel">#REF!</definedName>
    <definedName name="NOPUC" localSheetId="7">#REF!</definedName>
    <definedName name="NOPUC">#REF!</definedName>
    <definedName name="OFI">[10]oficial!$A$1:$H$160</definedName>
    <definedName name="ORDEN1" localSheetId="7">#REF!</definedName>
    <definedName name="ORDEN1">#REF!</definedName>
    <definedName name="ORDEN2" localSheetId="7">#REF!</definedName>
    <definedName name="ORDEN2">#REF!</definedName>
    <definedName name="ORDEN3" localSheetId="7">#REF!</definedName>
    <definedName name="ORDEN3">#REF!</definedName>
    <definedName name="ORDEN4" localSheetId="7">#REF!</definedName>
    <definedName name="ORDEN4">#REF!</definedName>
    <definedName name="ORDEN5" localSheetId="7">#REF!</definedName>
    <definedName name="ORDEN5">#REF!</definedName>
    <definedName name="ORDEN6" localSheetId="7">#REF!</definedName>
    <definedName name="ORDEN6">#REF!</definedName>
    <definedName name="p">'[19]Participación Accionaria Junio '!$K$11</definedName>
    <definedName name="PAS" localSheetId="7">#REF!</definedName>
    <definedName name="PAS">#REF!</definedName>
    <definedName name="PAT" localSheetId="7">#REF!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 localSheetId="7">#REF!</definedName>
    <definedName name="PRES">#REF!</definedName>
    <definedName name="PRES1" localSheetId="7">#REF!</definedName>
    <definedName name="PRES1">#REF!</definedName>
    <definedName name="Presup" localSheetId="7">SUMIF([22]DATA!$H$1:$H$65536,#REF!&amp;"-"&amp;#REF!&amp;"-"&amp;MONTH(#REF!),[22]DATA!$G$1:$G$65536)</definedName>
    <definedName name="Presup">SUMIF([22]DATA!$H$1:$H$65536,#REF!&amp;"-"&amp;#REF!&amp;"-"&amp;MONTH(#REF!),[22]DATA!$G$1:$G$65536)</definedName>
    <definedName name="ProductivityWith" localSheetId="7">[9]!ProductivityWith</definedName>
    <definedName name="ProductivityWith" localSheetId="8">[9]!ProductivityWith</definedName>
    <definedName name="ProductivityWith">[9]!ProductivityWith</definedName>
    <definedName name="ProductivityWithout" localSheetId="7">[9]!ProductivityWithout</definedName>
    <definedName name="ProductivityWithout" localSheetId="8">[9]!ProductivityWithout</definedName>
    <definedName name="ProductivityWithout">[9]!ProductivityWithout</definedName>
    <definedName name="PUC" localSheetId="7">#REF!</definedName>
    <definedName name="PUC">#REF!</definedName>
    <definedName name="PYG" localSheetId="7">#REF!</definedName>
    <definedName name="PYG">#REF!</definedName>
    <definedName name="PYGBONOS" localSheetId="7">#REF!</definedName>
    <definedName name="PYGBONOS">#REF!</definedName>
    <definedName name="PYGCAMBIOS" localSheetId="7">#REF!</definedName>
    <definedName name="PYGCAMBIOS">#REF!</definedName>
    <definedName name="PYGRENTA" localSheetId="7">#REF!</definedName>
    <definedName name="PYGRENTA">#REF!</definedName>
    <definedName name="PYGTESOROS" localSheetId="7">#REF!</definedName>
    <definedName name="PYGTESOROS">#REF!</definedName>
    <definedName name="qeq">SUMIF([7]DATA1!$B$1:$B$65536,[8]Octubre!$C1,[7]DATA1!XFA$1:XFA$65536)</definedName>
    <definedName name="ref_contr" localSheetId="7">#REF!</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localSheetId="0" hidden="1">{"'Sheet1'!$A$1:$F$179"}</definedName>
    <definedName name="ro" hidden="1">{"'Sheet1'!$A$1:$F$179"}</definedName>
    <definedName name="rod" localSheetId="0" hidden="1">{"'Sheet1'!$A$1:$F$179"}</definedName>
    <definedName name="rod" hidden="1">{"'Sheet1'!$A$1:$F$179"}</definedName>
    <definedName name="rodirgo" localSheetId="0" hidden="1">{"'Sheet1'!$A$1:$F$179"}</definedName>
    <definedName name="rodirgo" hidden="1">{"'Sheet1'!$A$1:$F$179"}</definedName>
    <definedName name="Saldo">SUMIF([7]DATA2!XFB$1:XFB$65536,[8]Octubre!$C1,[7]DATA2!A$1:A$65536)</definedName>
    <definedName name="sdaf" localSheetId="0" hidden="1">{"'para SB'!$A$1420:$F$1479"}</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 localSheetId="7">#REF!</definedName>
    <definedName name="TestTypes">#REF!</definedName>
    <definedName name="TextRefCopyRangeCount" hidden="1">1</definedName>
    <definedName name="Títulos_a_imprimir_IM" localSheetId="7">#REF!,#REF!</definedName>
    <definedName name="Títulos_a_imprimir_IM">#REF!,#REF!</definedName>
    <definedName name="TOTAL" localSheetId="7">#REF!</definedName>
    <definedName name="TOTAL">#REF!</definedName>
    <definedName name="Total_Contagio">SUMIF([7]DATA1!$B$1:$B$65536,[8]Octubre!$C1,[7]DATA1!K$1:K$65536)</definedName>
    <definedName name="Total_Mora">SUMIF([7]DATA1!$B$1:$B$65536,[8]Octubre!$C1,[7]DATA1!K$1:K$65536)</definedName>
    <definedName name="TypesOfTransaction" localSheetId="7">#REF!</definedName>
    <definedName name="TypesOfTransaction">#REF!</definedName>
    <definedName name="uno">'[13]Anexo-Participaciones Dic-11'!$E$9</definedName>
    <definedName name="utilidad" localSheetId="7">'[6]Estado de Resultados'!#REF!</definedName>
    <definedName name="utilidad">'[6]Estado de Resultados'!#REF!</definedName>
    <definedName name="VALID" localSheetId="7">#REF!</definedName>
    <definedName name="VALID">#REF!</definedName>
    <definedName name="VALOR" localSheetId="0" hidden="1">{#N/A,#N/A,FALSE,"ANEXO1";"ACTIVO",#N/A,FALSE,"ANEXO1";"PASIVO",#N/A,FALSE,"ANEXO1";"G Y P",#N/A,FALSE,"ANEXO1"}</definedName>
    <definedName name="VALOR" hidden="1">{#N/A,#N/A,FALSE,"ANEXO1";"ACTIVO",#N/A,FALSE,"ANEXO1";"PASIVO",#N/A,FALSE,"ANEXO1";"G Y P",#N/A,FALSE,"ANEXO1"}</definedName>
    <definedName name="veinticuatro" localSheetId="7">#REF!</definedName>
    <definedName name="veinticuatro">#REF!</definedName>
    <definedName name="veintidos" localSheetId="7">#REF!</definedName>
    <definedName name="veintidos">#REF!</definedName>
    <definedName name="veintitres" localSheetId="7">#REF!</definedName>
    <definedName name="veintitres">#REF!</definedName>
    <definedName name="veintiuno" localSheetId="7">#REF!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localSheetId="0" hidden="1">{#N/A,#N/A,FALSE,"ANEXO1";"ACTIVO",#N/A,FALSE,"ANEXO1";"PASIVO",#N/A,FALSE,"ANEXO1";"G Y P",#N/A,FALSE,"ANEXO1"}</definedName>
    <definedName name="wrn.CONSOLIDADO." hidden="1">{#N/A,#N/A,FALSE,"ANEXO1";"ACTIVO",#N/A,FALSE,"ANEXO1";"PASIVO",#N/A,FALSE,"ANEXO1";"G Y P",#N/A,FALSE,"ANEXO1"}</definedName>
    <definedName name="ws" localSheetId="0" hidden="1">{"'Sheet1'!$A$1:$F$179"}</definedName>
    <definedName name="ws" hidden="1">{"'Sheet1'!$A$1:$F$179"}</definedName>
    <definedName name="XXX" localSheetId="7">#REF!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30" l="1"/>
  <c r="O33" i="30" s="1"/>
  <c r="E33" i="30"/>
  <c r="G31" i="30"/>
  <c r="O31" i="30" s="1"/>
  <c r="E31" i="30"/>
  <c r="G29" i="30"/>
  <c r="M7" i="30" s="1"/>
  <c r="E29" i="30"/>
  <c r="G27" i="30"/>
  <c r="O27" i="30" s="1"/>
  <c r="E27" i="30"/>
  <c r="G25" i="30"/>
  <c r="O25" i="30" s="1"/>
  <c r="E25" i="30"/>
  <c r="B24" i="24"/>
  <c r="B54" i="28"/>
  <c r="B53" i="28"/>
  <c r="B19" i="28"/>
  <c r="K127" i="20"/>
  <c r="L127" i="20" s="1"/>
  <c r="K119" i="20"/>
  <c r="L119" i="20" s="1"/>
  <c r="K111" i="20"/>
  <c r="L111" i="20" s="1"/>
  <c r="K103" i="20"/>
  <c r="L103" i="20" s="1"/>
  <c r="K95" i="20"/>
  <c r="L95" i="20" s="1"/>
  <c r="K87" i="20"/>
  <c r="L87" i="20" s="1"/>
  <c r="K79" i="20"/>
  <c r="L79" i="20" s="1"/>
  <c r="K71" i="20"/>
  <c r="L71" i="20" s="1"/>
  <c r="K63" i="20"/>
  <c r="L63" i="20" s="1"/>
  <c r="K52" i="20"/>
  <c r="L52" i="20" s="1"/>
  <c r="K44" i="20"/>
  <c r="L44" i="20" s="1"/>
  <c r="K36" i="20"/>
  <c r="L36" i="20" s="1"/>
  <c r="K28" i="20"/>
  <c r="L28" i="20" s="1"/>
  <c r="K20" i="20"/>
  <c r="L20" i="20" s="1"/>
  <c r="K131" i="19"/>
  <c r="L131" i="19" s="1"/>
  <c r="K123" i="19"/>
  <c r="L123" i="19" s="1"/>
  <c r="K115" i="19"/>
  <c r="L115" i="19" s="1"/>
  <c r="K107" i="19"/>
  <c r="L107" i="19" s="1"/>
  <c r="K99" i="19"/>
  <c r="L99" i="19" s="1"/>
  <c r="K91" i="19"/>
  <c r="L91" i="19" s="1"/>
  <c r="K79" i="19"/>
  <c r="L79" i="19" s="1"/>
  <c r="K71" i="19"/>
  <c r="L71" i="19" s="1"/>
  <c r="K63" i="19"/>
  <c r="L63" i="19" s="1"/>
  <c r="K55" i="19"/>
  <c r="L55" i="19" s="1"/>
  <c r="K43" i="19"/>
  <c r="L43" i="19" s="1"/>
  <c r="K35" i="19"/>
  <c r="L35" i="19" s="1"/>
  <c r="K27" i="19"/>
  <c r="L27" i="19" s="1"/>
  <c r="K19" i="19"/>
  <c r="L19" i="19" s="1"/>
  <c r="K115" i="17"/>
  <c r="K107" i="17"/>
  <c r="L107" i="17" s="1"/>
  <c r="K99" i="17"/>
  <c r="L99" i="17" s="1"/>
  <c r="K91" i="17"/>
  <c r="K83" i="17"/>
  <c r="L83" i="17" s="1"/>
  <c r="K72" i="17"/>
  <c r="L72" i="17" s="1"/>
  <c r="K64" i="17"/>
  <c r="L64" i="17" s="1"/>
  <c r="K56" i="17"/>
  <c r="L56" i="17" s="1"/>
  <c r="K48" i="17"/>
  <c r="L48" i="17" s="1"/>
  <c r="K37" i="17"/>
  <c r="L37" i="17" s="1"/>
  <c r="K29" i="17"/>
  <c r="L29" i="17" s="1"/>
  <c r="L91" i="17"/>
  <c r="K21" i="17"/>
  <c r="L21" i="17" s="1"/>
  <c r="K153" i="18"/>
  <c r="L153" i="18" s="1"/>
  <c r="N153" i="18" s="1"/>
  <c r="K145" i="18"/>
  <c r="L145" i="18" s="1"/>
  <c r="N145" i="18" s="1"/>
  <c r="K137" i="18"/>
  <c r="L137" i="18" s="1"/>
  <c r="N137" i="18" s="1"/>
  <c r="K129" i="18"/>
  <c r="L129" i="18" s="1"/>
  <c r="N129" i="18" s="1"/>
  <c r="K121" i="18"/>
  <c r="K110" i="18"/>
  <c r="L110" i="18" s="1"/>
  <c r="N110" i="18" s="1"/>
  <c r="K102" i="18"/>
  <c r="K94" i="18"/>
  <c r="L94" i="18" s="1"/>
  <c r="N94" i="18" s="1"/>
  <c r="K86" i="18"/>
  <c r="L86" i="18" s="1"/>
  <c r="N86" i="18" s="1"/>
  <c r="K75" i="18"/>
  <c r="L75" i="18" s="1"/>
  <c r="N75" i="18" s="1"/>
  <c r="K67" i="18"/>
  <c r="L67" i="18" s="1"/>
  <c r="N67" i="18" s="1"/>
  <c r="K59" i="18"/>
  <c r="L59" i="18" s="1"/>
  <c r="N59" i="18" s="1"/>
  <c r="K51" i="18"/>
  <c r="L51" i="18" s="1"/>
  <c r="N51" i="18" s="1"/>
  <c r="K43" i="18"/>
  <c r="L43" i="18" s="1"/>
  <c r="N43" i="18" s="1"/>
  <c r="K32" i="18"/>
  <c r="L32" i="18" s="1"/>
  <c r="N32" i="18" s="1"/>
  <c r="K24" i="18"/>
  <c r="L24" i="18" s="1"/>
  <c r="N24" i="18" s="1"/>
  <c r="L102" i="18"/>
  <c r="N102" i="18" s="1"/>
  <c r="K16" i="18"/>
  <c r="L16" i="18" s="1"/>
  <c r="N16" i="18" s="1"/>
  <c r="K228" i="24"/>
  <c r="L228" i="24" s="1"/>
  <c r="N228" i="24" s="1"/>
  <c r="K220" i="24"/>
  <c r="L220" i="24" s="1"/>
  <c r="N220" i="24" s="1"/>
  <c r="K212" i="24"/>
  <c r="L212" i="24" s="1"/>
  <c r="N212" i="24" s="1"/>
  <c r="K204" i="24"/>
  <c r="L204" i="24" s="1"/>
  <c r="N204" i="24" s="1"/>
  <c r="K196" i="24"/>
  <c r="L196" i="24" s="1"/>
  <c r="N196" i="24" s="1"/>
  <c r="K188" i="24"/>
  <c r="L188" i="24" s="1"/>
  <c r="N188" i="24" s="1"/>
  <c r="K177" i="24"/>
  <c r="L177" i="24" s="1"/>
  <c r="N177" i="24" s="1"/>
  <c r="K169" i="24"/>
  <c r="L169" i="24" s="1"/>
  <c r="N169" i="24" s="1"/>
  <c r="K161" i="24"/>
  <c r="L161" i="24" s="1"/>
  <c r="N161" i="24" s="1"/>
  <c r="K153" i="24"/>
  <c r="L153" i="24" s="1"/>
  <c r="N153" i="24" s="1"/>
  <c r="K145" i="24"/>
  <c r="L145" i="24" s="1"/>
  <c r="N145" i="24" s="1"/>
  <c r="K137" i="24"/>
  <c r="L137" i="24" s="1"/>
  <c r="N137" i="24" s="1"/>
  <c r="K129" i="24"/>
  <c r="L129" i="24" s="1"/>
  <c r="N129" i="24" s="1"/>
  <c r="K118" i="24"/>
  <c r="L118" i="24" s="1"/>
  <c r="N118" i="24" s="1"/>
  <c r="K110" i="24"/>
  <c r="L110" i="24" s="1"/>
  <c r="N110" i="24" s="1"/>
  <c r="K102" i="24"/>
  <c r="L102" i="24" s="1"/>
  <c r="N102" i="24" s="1"/>
  <c r="K91" i="24"/>
  <c r="L91" i="24" s="1"/>
  <c r="N91" i="24" s="1"/>
  <c r="K83" i="24"/>
  <c r="L83" i="24" s="1"/>
  <c r="N83" i="24" s="1"/>
  <c r="K75" i="24"/>
  <c r="L75" i="24" s="1"/>
  <c r="N75" i="24" s="1"/>
  <c r="K64" i="24"/>
  <c r="L64" i="24" s="1"/>
  <c r="N64" i="24" s="1"/>
  <c r="K56" i="24"/>
  <c r="L56" i="24" s="1"/>
  <c r="N56" i="24" s="1"/>
  <c r="K48" i="24"/>
  <c r="L48" i="24" s="1"/>
  <c r="N48" i="24" s="1"/>
  <c r="K40" i="24"/>
  <c r="L40" i="24" s="1"/>
  <c r="N40" i="24" s="1"/>
  <c r="K32" i="24"/>
  <c r="L32" i="24" s="1"/>
  <c r="N32" i="24" s="1"/>
  <c r="K24" i="24"/>
  <c r="O29" i="30" l="1"/>
  <c r="B6" i="28"/>
  <c r="B81" i="28" l="1"/>
  <c r="B82" i="28"/>
  <c r="B119" i="20"/>
  <c r="B111" i="20"/>
  <c r="B107" i="17"/>
  <c r="B99" i="17"/>
  <c r="B169" i="24"/>
  <c r="B56" i="24"/>
  <c r="B32" i="24"/>
  <c r="L115" i="17"/>
  <c r="L121" i="18"/>
  <c r="N121" i="18" s="1"/>
  <c r="K2" i="28" l="1"/>
  <c r="L2" i="28"/>
  <c r="N99" i="17"/>
  <c r="N107" i="17"/>
  <c r="N111" i="20"/>
  <c r="N119" i="20"/>
  <c r="G2" i="28"/>
  <c r="M2" i="28" l="1"/>
  <c r="N127" i="20"/>
  <c r="N103" i="20"/>
  <c r="N95" i="20"/>
  <c r="N87" i="20"/>
  <c r="N79" i="20"/>
  <c r="N71" i="20"/>
  <c r="N63" i="20"/>
  <c r="N52" i="20"/>
  <c r="N44" i="20"/>
  <c r="N36" i="20"/>
  <c r="N28" i="20"/>
  <c r="N20" i="20"/>
  <c r="N131" i="19"/>
  <c r="N123" i="19"/>
  <c r="N115" i="19"/>
  <c r="N107" i="19"/>
  <c r="N99" i="19"/>
  <c r="N91" i="19"/>
  <c r="N79" i="19"/>
  <c r="N71" i="19"/>
  <c r="N63" i="19"/>
  <c r="N55" i="19"/>
  <c r="N43" i="19"/>
  <c r="N35" i="19"/>
  <c r="N27" i="19"/>
  <c r="N115" i="17"/>
  <c r="N91" i="17"/>
  <c r="N83" i="17"/>
  <c r="N72" i="17"/>
  <c r="N64" i="17"/>
  <c r="N56" i="17"/>
  <c r="N48" i="17"/>
  <c r="N37" i="17"/>
  <c r="N29" i="17"/>
  <c r="N21" i="17"/>
  <c r="B52" i="20" l="1"/>
  <c r="B44" i="20"/>
  <c r="B115" i="17" l="1"/>
  <c r="B91" i="17"/>
  <c r="B44" i="28"/>
  <c r="B45" i="28"/>
  <c r="B46" i="28"/>
  <c r="B47" i="28"/>
  <c r="B48" i="28"/>
  <c r="B49" i="28"/>
  <c r="B50" i="28"/>
  <c r="B51" i="28"/>
  <c r="B52"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43" i="28"/>
  <c r="B127" i="20"/>
  <c r="B103" i="20"/>
  <c r="B95" i="20"/>
  <c r="B87" i="20"/>
  <c r="B79" i="20"/>
  <c r="B71" i="20"/>
  <c r="B63" i="20"/>
  <c r="B36" i="20"/>
  <c r="B28" i="20"/>
  <c r="B20" i="20"/>
  <c r="B131" i="19"/>
  <c r="B123" i="19"/>
  <c r="B115" i="19"/>
  <c r="B107" i="19"/>
  <c r="B99" i="19"/>
  <c r="B91" i="19"/>
  <c r="B79" i="19"/>
  <c r="B71" i="19"/>
  <c r="B63" i="19"/>
  <c r="B55" i="19"/>
  <c r="B43" i="19"/>
  <c r="B35" i="19"/>
  <c r="B27" i="19"/>
  <c r="B19" i="19"/>
  <c r="B83" i="17"/>
  <c r="B72" i="17"/>
  <c r="B64" i="17"/>
  <c r="B56" i="17"/>
  <c r="B48" i="17"/>
  <c r="B37" i="17"/>
  <c r="B29" i="17"/>
  <c r="B21" i="17"/>
  <c r="B26" i="28"/>
  <c r="B27" i="28"/>
  <c r="B28" i="28"/>
  <c r="B29" i="28"/>
  <c r="B30" i="28"/>
  <c r="B31" i="28"/>
  <c r="B32" i="28"/>
  <c r="B33" i="28"/>
  <c r="B34" i="28"/>
  <c r="B35" i="28"/>
  <c r="B36" i="28"/>
  <c r="B37" i="28"/>
  <c r="B38" i="28"/>
  <c r="B39" i="28"/>
  <c r="B40" i="28"/>
  <c r="B41" i="28"/>
  <c r="B42" i="28"/>
  <c r="B153" i="18"/>
  <c r="B145" i="18"/>
  <c r="B137" i="18"/>
  <c r="B129" i="18"/>
  <c r="B121" i="18"/>
  <c r="B110" i="18"/>
  <c r="B102" i="18"/>
  <c r="B94" i="18"/>
  <c r="B86" i="18"/>
  <c r="B75" i="18"/>
  <c r="B67" i="18"/>
  <c r="B59" i="18"/>
  <c r="B51" i="18"/>
  <c r="B43" i="18"/>
  <c r="B32" i="18"/>
  <c r="B24" i="18"/>
  <c r="B16" i="18"/>
  <c r="K42" i="28" l="1"/>
  <c r="K41" i="28"/>
  <c r="K40" i="28"/>
  <c r="K39" i="28"/>
  <c r="K38" i="28"/>
  <c r="K37" i="28"/>
  <c r="K36" i="28"/>
  <c r="K35" i="28"/>
  <c r="K34" i="28"/>
  <c r="K33" i="28"/>
  <c r="K32" i="28"/>
  <c r="K31" i="28"/>
  <c r="K30" i="28"/>
  <c r="K29" i="28"/>
  <c r="K28" i="28"/>
  <c r="K27" i="28"/>
  <c r="K26" i="28"/>
  <c r="L42" i="28"/>
  <c r="L41" i="28"/>
  <c r="L40" i="28"/>
  <c r="L39" i="28"/>
  <c r="L38" i="28"/>
  <c r="L37" i="28"/>
  <c r="L36" i="28"/>
  <c r="L35" i="28"/>
  <c r="L34" i="28"/>
  <c r="L33" i="28"/>
  <c r="L32" i="28"/>
  <c r="L31" i="28"/>
  <c r="L30" i="28"/>
  <c r="L29" i="28"/>
  <c r="L28" i="28"/>
  <c r="L27" i="28"/>
  <c r="L26" i="28"/>
  <c r="L54" i="28"/>
  <c r="L53" i="28"/>
  <c r="L52" i="28"/>
  <c r="L51" i="28"/>
  <c r="L50" i="28"/>
  <c r="L49" i="28"/>
  <c r="L48" i="28"/>
  <c r="L47" i="28"/>
  <c r="L46" i="28"/>
  <c r="L45" i="28"/>
  <c r="L44" i="28"/>
  <c r="L43" i="28"/>
  <c r="K54" i="28"/>
  <c r="K53" i="28"/>
  <c r="K52" i="28"/>
  <c r="K51" i="28"/>
  <c r="K50" i="28"/>
  <c r="K49" i="28"/>
  <c r="K48" i="28"/>
  <c r="K47" i="28"/>
  <c r="K46" i="28"/>
  <c r="K45" i="28"/>
  <c r="K44" i="28"/>
  <c r="K43" i="28"/>
  <c r="C54" i="28"/>
  <c r="E54" i="28"/>
  <c r="F54" i="28"/>
  <c r="G54" i="28"/>
  <c r="C53" i="28"/>
  <c r="E53" i="28"/>
  <c r="F53" i="28"/>
  <c r="G53" i="28"/>
  <c r="L68" i="28"/>
  <c r="L67" i="28"/>
  <c r="L66" i="28"/>
  <c r="L65" i="28"/>
  <c r="L64" i="28"/>
  <c r="L63" i="28"/>
  <c r="L62" i="28"/>
  <c r="L61" i="28"/>
  <c r="L60" i="28"/>
  <c r="L59" i="28"/>
  <c r="L58" i="28"/>
  <c r="L57" i="28"/>
  <c r="L56" i="28"/>
  <c r="L55" i="28"/>
  <c r="K68" i="28"/>
  <c r="K67" i="28"/>
  <c r="K66" i="28"/>
  <c r="K65" i="28"/>
  <c r="K64" i="28"/>
  <c r="K63" i="28"/>
  <c r="K62" i="28"/>
  <c r="K61" i="28"/>
  <c r="K60" i="28"/>
  <c r="K59" i="28"/>
  <c r="K58" i="28"/>
  <c r="K57" i="28"/>
  <c r="K56" i="28"/>
  <c r="K55" i="28"/>
  <c r="L82" i="28"/>
  <c r="L81" i="28"/>
  <c r="L80" i="28"/>
  <c r="L79" i="28"/>
  <c r="L78" i="28"/>
  <c r="L77" i="28"/>
  <c r="L76" i="28"/>
  <c r="L75" i="28"/>
  <c r="L74" i="28"/>
  <c r="L73" i="28"/>
  <c r="L72" i="28"/>
  <c r="L71" i="28"/>
  <c r="L70" i="28"/>
  <c r="L69" i="28"/>
  <c r="K82" i="28"/>
  <c r="K81" i="28"/>
  <c r="K80" i="28"/>
  <c r="K79" i="28"/>
  <c r="K78" i="28"/>
  <c r="K77" i="28"/>
  <c r="K76" i="28"/>
  <c r="K75" i="28"/>
  <c r="K74" i="28"/>
  <c r="K73" i="28"/>
  <c r="K72" i="28"/>
  <c r="K71" i="28"/>
  <c r="K70" i="28"/>
  <c r="K69" i="28"/>
  <c r="G33" i="28"/>
  <c r="G41" i="28"/>
  <c r="F30" i="28"/>
  <c r="F38" i="28"/>
  <c r="G35" i="28"/>
  <c r="F32" i="28"/>
  <c r="G29" i="28"/>
  <c r="F26" i="28"/>
  <c r="G32" i="28"/>
  <c r="F37" i="28"/>
  <c r="G34" i="28"/>
  <c r="G42" i="28"/>
  <c r="F31" i="28"/>
  <c r="F39" i="28"/>
  <c r="F40" i="28"/>
  <c r="F42" i="28"/>
  <c r="F28" i="28"/>
  <c r="F29" i="28"/>
  <c r="G27" i="28"/>
  <c r="G28" i="28"/>
  <c r="G36" i="28"/>
  <c r="F33" i="28"/>
  <c r="F41" i="28"/>
  <c r="G37" i="28"/>
  <c r="F34" i="28"/>
  <c r="G31" i="28"/>
  <c r="F36" i="28"/>
  <c r="G30" i="28"/>
  <c r="G38" i="28"/>
  <c r="F27" i="28"/>
  <c r="F35" i="28"/>
  <c r="G39" i="28"/>
  <c r="G40" i="28"/>
  <c r="G82" i="28"/>
  <c r="G74" i="28"/>
  <c r="F71" i="28"/>
  <c r="F79" i="28"/>
  <c r="F81" i="28"/>
  <c r="F69" i="28"/>
  <c r="G75" i="28"/>
  <c r="G81" i="28"/>
  <c r="G73" i="28"/>
  <c r="F72" i="28"/>
  <c r="F80" i="28"/>
  <c r="F73" i="28"/>
  <c r="F75" i="28"/>
  <c r="F77" i="28"/>
  <c r="F78" i="28"/>
  <c r="G80" i="28"/>
  <c r="G72" i="28"/>
  <c r="G79" i="28"/>
  <c r="G70" i="28"/>
  <c r="F74" i="28"/>
  <c r="F82" i="28"/>
  <c r="G78" i="28"/>
  <c r="G69" i="28"/>
  <c r="G76" i="28"/>
  <c r="F70" i="28"/>
  <c r="G77" i="28"/>
  <c r="G71" i="28"/>
  <c r="F76" i="28"/>
  <c r="E81" i="28"/>
  <c r="C79" i="28"/>
  <c r="E82" i="28"/>
  <c r="C80" i="28"/>
  <c r="C81" i="28"/>
  <c r="C82" i="28"/>
  <c r="C75" i="28"/>
  <c r="C76" i="28"/>
  <c r="C77" i="28"/>
  <c r="C78" i="28"/>
  <c r="C51" i="28"/>
  <c r="G44" i="28"/>
  <c r="G52" i="28"/>
  <c r="F49" i="28"/>
  <c r="F43" i="28"/>
  <c r="G45" i="28"/>
  <c r="G43" i="28"/>
  <c r="F50" i="28"/>
  <c r="F51" i="28"/>
  <c r="F45" i="28"/>
  <c r="G50" i="28"/>
  <c r="G51" i="28"/>
  <c r="G46" i="28"/>
  <c r="G47" i="28"/>
  <c r="F44" i="28"/>
  <c r="F52" i="28"/>
  <c r="G48" i="28"/>
  <c r="F48" i="28"/>
  <c r="G49" i="28"/>
  <c r="F46" i="28"/>
  <c r="F47" i="28"/>
  <c r="G62" i="28"/>
  <c r="F59" i="28"/>
  <c r="F67" i="28"/>
  <c r="F55" i="28"/>
  <c r="G68" i="28"/>
  <c r="F65" i="28"/>
  <c r="F58" i="28"/>
  <c r="G63" i="28"/>
  <c r="F60" i="28"/>
  <c r="F68" i="28"/>
  <c r="F61" i="28"/>
  <c r="G56" i="28"/>
  <c r="G64" i="28"/>
  <c r="G57" i="28"/>
  <c r="G65" i="28"/>
  <c r="F62" i="28"/>
  <c r="G58" i="28"/>
  <c r="G66" i="28"/>
  <c r="F63" i="28"/>
  <c r="F57" i="28"/>
  <c r="G59" i="28"/>
  <c r="G67" i="28"/>
  <c r="F56" i="28"/>
  <c r="F64" i="28"/>
  <c r="G60" i="28"/>
  <c r="G61" i="28"/>
  <c r="F66" i="28"/>
  <c r="C74" i="28"/>
  <c r="C34" i="28"/>
  <c r="C30" i="28"/>
  <c r="E29" i="28"/>
  <c r="E33" i="28"/>
  <c r="E37" i="28"/>
  <c r="E41" i="28"/>
  <c r="E30" i="28"/>
  <c r="E34" i="28"/>
  <c r="E38" i="28"/>
  <c r="E42" i="28"/>
  <c r="E27" i="28"/>
  <c r="E31" i="28"/>
  <c r="E35" i="28"/>
  <c r="E39" i="28"/>
  <c r="E26" i="28"/>
  <c r="E28" i="28"/>
  <c r="E32" i="28"/>
  <c r="E36" i="28"/>
  <c r="E40" i="28"/>
  <c r="E72" i="28"/>
  <c r="E76" i="28"/>
  <c r="E80" i="28"/>
  <c r="E73" i="28"/>
  <c r="E77" i="28"/>
  <c r="E69" i="28"/>
  <c r="C70" i="28"/>
  <c r="C69" i="28"/>
  <c r="C73" i="28"/>
  <c r="E70" i="28"/>
  <c r="E74" i="28"/>
  <c r="E78" i="28"/>
  <c r="C71" i="28"/>
  <c r="E71" i="28"/>
  <c r="E75" i="28"/>
  <c r="E79" i="28"/>
  <c r="C72" i="28"/>
  <c r="C41" i="28"/>
  <c r="C37" i="28"/>
  <c r="C33" i="28"/>
  <c r="C29" i="28"/>
  <c r="C50" i="28"/>
  <c r="C46" i="28"/>
  <c r="C42" i="28"/>
  <c r="C38" i="28"/>
  <c r="C43" i="28"/>
  <c r="C47" i="28"/>
  <c r="C40" i="28"/>
  <c r="C36" i="28"/>
  <c r="C32" i="28"/>
  <c r="C28" i="28"/>
  <c r="C49" i="28"/>
  <c r="C45" i="28"/>
  <c r="E44" i="28"/>
  <c r="E48" i="28"/>
  <c r="E52" i="28"/>
  <c r="E45" i="28"/>
  <c r="E49" i="28"/>
  <c r="E43" i="28"/>
  <c r="E46" i="28"/>
  <c r="E50" i="28"/>
  <c r="E47" i="28"/>
  <c r="E51" i="28"/>
  <c r="E58" i="28"/>
  <c r="E62" i="28"/>
  <c r="E66" i="28"/>
  <c r="E59" i="28"/>
  <c r="E63" i="28"/>
  <c r="E67" i="28"/>
  <c r="C59" i="28"/>
  <c r="C63" i="28"/>
  <c r="C62" i="28"/>
  <c r="E56" i="28"/>
  <c r="E60" i="28"/>
  <c r="E64" i="28"/>
  <c r="E68" i="28"/>
  <c r="C56" i="28"/>
  <c r="C60" i="28"/>
  <c r="C64" i="28"/>
  <c r="E57" i="28"/>
  <c r="E61" i="28"/>
  <c r="E65" i="28"/>
  <c r="E55" i="28"/>
  <c r="C57" i="28"/>
  <c r="C61" i="28"/>
  <c r="C65" i="28"/>
  <c r="C58" i="28"/>
  <c r="C55" i="28"/>
  <c r="C26" i="28"/>
  <c r="C39" i="28"/>
  <c r="C35" i="28"/>
  <c r="C31" i="28"/>
  <c r="C27" i="28"/>
  <c r="C48" i="28"/>
  <c r="C44" i="28"/>
  <c r="C52" i="28"/>
  <c r="C68" i="28"/>
  <c r="C67" i="28"/>
  <c r="C66" i="28"/>
  <c r="B3" i="28"/>
  <c r="B4" i="28"/>
  <c r="B5" i="28"/>
  <c r="B7" i="28"/>
  <c r="B8" i="28"/>
  <c r="B9" i="28"/>
  <c r="B10" i="28"/>
  <c r="B11" i="28"/>
  <c r="B12" i="28"/>
  <c r="B13" i="28"/>
  <c r="B14" i="28"/>
  <c r="B15" i="28"/>
  <c r="B16" i="28"/>
  <c r="B17" i="28"/>
  <c r="B18" i="28"/>
  <c r="B20" i="28"/>
  <c r="B21" i="28"/>
  <c r="B22" i="28"/>
  <c r="B23" i="28"/>
  <c r="B24" i="28"/>
  <c r="B25" i="28"/>
  <c r="B2" i="28"/>
  <c r="M69" i="28" l="1"/>
  <c r="M77" i="28"/>
  <c r="M76" i="28"/>
  <c r="M72" i="28"/>
  <c r="M80" i="28"/>
  <c r="M73" i="28"/>
  <c r="M58" i="28"/>
  <c r="M55" i="28"/>
  <c r="M48" i="28"/>
  <c r="M43" i="28"/>
  <c r="M50" i="28"/>
  <c r="M46" i="28"/>
  <c r="M51" i="28"/>
  <c r="M44" i="28"/>
  <c r="M49" i="28"/>
  <c r="M52" i="28"/>
  <c r="M75" i="28"/>
  <c r="M79" i="28"/>
  <c r="M57" i="28"/>
  <c r="M70" i="28"/>
  <c r="M74" i="28"/>
  <c r="M78" i="28"/>
  <c r="M56" i="28"/>
  <c r="M60" i="28"/>
  <c r="M64" i="28"/>
  <c r="M68" i="28"/>
  <c r="M53" i="28"/>
  <c r="M61" i="28"/>
  <c r="M59" i="28"/>
  <c r="M62" i="28"/>
  <c r="M63" i="28"/>
  <c r="M66" i="28"/>
  <c r="M65" i="28"/>
  <c r="M67" i="28"/>
  <c r="M82" i="28"/>
  <c r="M71" i="28"/>
  <c r="M81" i="28"/>
  <c r="M45" i="28"/>
  <c r="M47" i="28"/>
  <c r="M54" i="28"/>
  <c r="M26" i="28"/>
  <c r="M27" i="28"/>
  <c r="M28" i="28"/>
  <c r="M29" i="28"/>
  <c r="M30" i="28"/>
  <c r="M31" i="28"/>
  <c r="M32" i="28"/>
  <c r="M33" i="28"/>
  <c r="M34" i="28"/>
  <c r="M35" i="28"/>
  <c r="M36" i="28"/>
  <c r="M37" i="28"/>
  <c r="M38" i="28"/>
  <c r="M39" i="28"/>
  <c r="M40" i="28"/>
  <c r="M41" i="28"/>
  <c r="M42" i="28"/>
  <c r="B228" i="24"/>
  <c r="B220" i="24"/>
  <c r="B212" i="24"/>
  <c r="B204" i="24"/>
  <c r="B196" i="24"/>
  <c r="B188" i="24"/>
  <c r="B177" i="24"/>
  <c r="B161" i="24"/>
  <c r="B153" i="24"/>
  <c r="B145" i="24"/>
  <c r="B137" i="24"/>
  <c r="B129" i="24"/>
  <c r="B118" i="24"/>
  <c r="B110" i="24"/>
  <c r="B102" i="24"/>
  <c r="B91" i="24"/>
  <c r="B83" i="24"/>
  <c r="B75" i="24"/>
  <c r="B64" i="24"/>
  <c r="B48" i="24"/>
  <c r="B40" i="24"/>
  <c r="N55" i="28" l="1"/>
  <c r="N52" i="28"/>
  <c r="L19" i="28"/>
  <c r="L10" i="28"/>
  <c r="K20" i="28"/>
  <c r="F19" i="28"/>
  <c r="L13" i="28"/>
  <c r="K4" i="28"/>
  <c r="K5" i="28"/>
  <c r="L20" i="28"/>
  <c r="E19" i="28"/>
  <c r="L21" i="28"/>
  <c r="C19" i="28"/>
  <c r="K7" i="28"/>
  <c r="K15" i="28"/>
  <c r="K23" i="28"/>
  <c r="L6" i="28"/>
  <c r="L14" i="28"/>
  <c r="L22" i="28"/>
  <c r="L3" i="28"/>
  <c r="K13" i="28"/>
  <c r="L4" i="28"/>
  <c r="K6" i="28"/>
  <c r="L5" i="28"/>
  <c r="K8" i="28"/>
  <c r="K16" i="28"/>
  <c r="K24" i="28"/>
  <c r="L7" i="28"/>
  <c r="L15" i="28"/>
  <c r="L23" i="28"/>
  <c r="K11" i="28"/>
  <c r="K12" i="28"/>
  <c r="K21" i="28"/>
  <c r="K22" i="28"/>
  <c r="K9" i="28"/>
  <c r="K17" i="28"/>
  <c r="K25" i="28"/>
  <c r="L8" i="28"/>
  <c r="L16" i="28"/>
  <c r="L24" i="28"/>
  <c r="K19" i="28"/>
  <c r="G19" i="28"/>
  <c r="L11" i="28"/>
  <c r="L12" i="28"/>
  <c r="K14" i="28"/>
  <c r="K3" i="28"/>
  <c r="K10" i="28"/>
  <c r="K18" i="28"/>
  <c r="L9" i="28"/>
  <c r="L17" i="28"/>
  <c r="L25" i="28"/>
  <c r="L18" i="28"/>
  <c r="N53" i="28"/>
  <c r="N54" i="28"/>
  <c r="N49" i="28"/>
  <c r="N47" i="28"/>
  <c r="N46" i="28"/>
  <c r="N48" i="28"/>
  <c r="E6" i="28"/>
  <c r="C6" i="28"/>
  <c r="F6" i="28"/>
  <c r="G6" i="28"/>
  <c r="N44" i="28"/>
  <c r="N26" i="28"/>
  <c r="N34" i="28"/>
  <c r="N42" i="28"/>
  <c r="N27" i="28"/>
  <c r="N35" i="28"/>
  <c r="N40" i="28"/>
  <c r="N28" i="28"/>
  <c r="N36" i="28"/>
  <c r="N29" i="28"/>
  <c r="N37" i="28"/>
  <c r="N30" i="28"/>
  <c r="N38" i="28"/>
  <c r="N32" i="28"/>
  <c r="N31" i="28"/>
  <c r="N39" i="28"/>
  <c r="N33" i="28"/>
  <c r="N41" i="28"/>
  <c r="N51" i="28"/>
  <c r="N43" i="28"/>
  <c r="N50" i="28"/>
  <c r="N76" i="28"/>
  <c r="N75" i="28"/>
  <c r="N69" i="28"/>
  <c r="N77" i="28"/>
  <c r="N82" i="28"/>
  <c r="N70" i="28"/>
  <c r="N78" i="28"/>
  <c r="N71" i="28"/>
  <c r="N79" i="28"/>
  <c r="N72" i="28"/>
  <c r="N80" i="28"/>
  <c r="N74" i="28"/>
  <c r="N73" i="28"/>
  <c r="N81" i="28"/>
  <c r="N45" i="28"/>
  <c r="N60" i="28"/>
  <c r="N68" i="28"/>
  <c r="N61" i="28"/>
  <c r="N62" i="28"/>
  <c r="N63" i="28"/>
  <c r="N66" i="28"/>
  <c r="N67" i="28"/>
  <c r="N56" i="28"/>
  <c r="N64" i="28"/>
  <c r="N57" i="28"/>
  <c r="N65" i="28"/>
  <c r="N58" i="28"/>
  <c r="N59" i="28"/>
  <c r="G10" i="28"/>
  <c r="G23" i="28"/>
  <c r="F7" i="28"/>
  <c r="F20" i="28"/>
  <c r="G25" i="28"/>
  <c r="G11" i="28"/>
  <c r="G24" i="28"/>
  <c r="F8" i="28"/>
  <c r="F21" i="28"/>
  <c r="G15" i="28"/>
  <c r="F4" i="28"/>
  <c r="F15" i="28"/>
  <c r="G3" i="28"/>
  <c r="G13" i="28"/>
  <c r="F9" i="28"/>
  <c r="F22" i="28"/>
  <c r="F11" i="28"/>
  <c r="G8" i="28"/>
  <c r="G4" i="28"/>
  <c r="G14" i="28"/>
  <c r="F10" i="28"/>
  <c r="F23" i="28"/>
  <c r="F24" i="28"/>
  <c r="G9" i="28"/>
  <c r="G5" i="28"/>
  <c r="G21" i="28"/>
  <c r="G22" i="28"/>
  <c r="G7" i="28"/>
  <c r="G20" i="28"/>
  <c r="F3" i="28"/>
  <c r="F13" i="28"/>
  <c r="F25" i="28"/>
  <c r="F14" i="28"/>
  <c r="F5" i="28"/>
  <c r="F12" i="28"/>
  <c r="F17" i="28"/>
  <c r="F2" i="28"/>
  <c r="F16" i="28"/>
  <c r="F18" i="28"/>
  <c r="G18" i="28"/>
  <c r="G16" i="28"/>
  <c r="G12" i="28"/>
  <c r="G17" i="28"/>
  <c r="C21" i="28"/>
  <c r="C16" i="28"/>
  <c r="C12" i="28"/>
  <c r="C8" i="28"/>
  <c r="C3" i="28"/>
  <c r="C24" i="28"/>
  <c r="C20" i="28"/>
  <c r="C15" i="28"/>
  <c r="C11" i="28"/>
  <c r="C7" i="28"/>
  <c r="C2" i="28"/>
  <c r="C23" i="28"/>
  <c r="C18" i="28"/>
  <c r="C14" i="28"/>
  <c r="C10" i="28"/>
  <c r="C5" i="28"/>
  <c r="C25" i="28"/>
  <c r="C22" i="28"/>
  <c r="C17" i="28"/>
  <c r="C13" i="28"/>
  <c r="C9" i="28"/>
  <c r="C4" i="28"/>
  <c r="E3" i="28"/>
  <c r="E8" i="28"/>
  <c r="E12" i="28"/>
  <c r="E16" i="28"/>
  <c r="E21" i="28"/>
  <c r="E25" i="28"/>
  <c r="E4" i="28"/>
  <c r="E9" i="28"/>
  <c r="E13" i="28"/>
  <c r="E17" i="28"/>
  <c r="E22" i="28"/>
  <c r="E2" i="28"/>
  <c r="E5" i="28"/>
  <c r="E10" i="28"/>
  <c r="E14" i="28"/>
  <c r="E18" i="28"/>
  <c r="E23" i="28"/>
  <c r="E7" i="28"/>
  <c r="E11" i="28"/>
  <c r="E15" i="28"/>
  <c r="E20" i="28"/>
  <c r="E24" i="28"/>
  <c r="N19" i="19"/>
  <c r="G55" i="28" s="1"/>
  <c r="M19" i="28" l="1"/>
  <c r="M3" i="28"/>
  <c r="M23" i="28"/>
  <c r="M15" i="28"/>
  <c r="M6" i="28"/>
  <c r="M13" i="28"/>
  <c r="M10" i="28"/>
  <c r="M14" i="28"/>
  <c r="M21" i="28"/>
  <c r="M22" i="28"/>
  <c r="M20" i="28"/>
  <c r="M18" i="28"/>
  <c r="M25" i="28"/>
  <c r="M17" i="28"/>
  <c r="M9" i="28"/>
  <c r="M12" i="28"/>
  <c r="M11" i="28"/>
  <c r="M24" i="28"/>
  <c r="M16" i="28"/>
  <c r="M8" i="28"/>
  <c r="M7" i="28"/>
  <c r="M5" i="28"/>
  <c r="M4" i="28"/>
  <c r="I54" i="28"/>
  <c r="I19" i="28"/>
  <c r="I53" i="28"/>
  <c r="I6" i="28"/>
  <c r="G26" i="28"/>
  <c r="H6" i="28" s="1"/>
  <c r="N19" i="28" l="1"/>
  <c r="N2" i="28"/>
  <c r="H54" i="28"/>
  <c r="H53" i="28"/>
  <c r="H82" i="28"/>
  <c r="H19" i="28"/>
  <c r="N6" i="28"/>
  <c r="N9" i="28"/>
  <c r="N17" i="28"/>
  <c r="N25" i="28"/>
  <c r="N10" i="28"/>
  <c r="N18" i="28"/>
  <c r="N16" i="28"/>
  <c r="N11" i="28"/>
  <c r="N20" i="28"/>
  <c r="N8" i="28"/>
  <c r="N3" i="28"/>
  <c r="N12" i="28"/>
  <c r="N21" i="28"/>
  <c r="N4" i="28"/>
  <c r="N13" i="28"/>
  <c r="N22" i="28"/>
  <c r="N5" i="28"/>
  <c r="N14" i="28"/>
  <c r="N23" i="28"/>
  <c r="N7" i="28"/>
  <c r="N15" i="28"/>
  <c r="N24" i="28"/>
  <c r="H8" i="28"/>
  <c r="H80" i="28"/>
  <c r="H48" i="28"/>
  <c r="H73" i="28"/>
  <c r="H13" i="28"/>
  <c r="H52" i="28"/>
  <c r="H25" i="28"/>
  <c r="H39" i="28"/>
  <c r="H16" i="28"/>
  <c r="H3" i="28"/>
  <c r="H28" i="28"/>
  <c r="H5" i="28"/>
  <c r="H29" i="28"/>
  <c r="H30" i="28"/>
  <c r="H26" i="28"/>
  <c r="H69" i="28"/>
  <c r="H18" i="28"/>
  <c r="H9" i="28"/>
  <c r="H27" i="28"/>
  <c r="H43" i="28"/>
  <c r="H70" i="28"/>
  <c r="H22" i="28"/>
  <c r="H45" i="28"/>
  <c r="H11" i="28"/>
  <c r="H68" i="28"/>
  <c r="H44" i="28"/>
  <c r="H36" i="28"/>
  <c r="H63" i="28"/>
  <c r="H42" i="28"/>
  <c r="H2" i="28"/>
  <c r="H31" i="28"/>
  <c r="H20" i="28"/>
  <c r="H37" i="28"/>
  <c r="H72" i="28"/>
  <c r="H67" i="28"/>
  <c r="H61" i="28"/>
  <c r="H78" i="28"/>
  <c r="H51" i="28"/>
  <c r="H46" i="28"/>
  <c r="H41" i="28"/>
  <c r="H74" i="28"/>
  <c r="H7" i="28"/>
  <c r="H17" i="28"/>
  <c r="H76" i="28"/>
  <c r="H21" i="28"/>
  <c r="H57" i="28"/>
  <c r="H24" i="28"/>
  <c r="H40" i="28"/>
  <c r="H34" i="28"/>
  <c r="H14" i="28"/>
  <c r="H4" i="28"/>
  <c r="H62" i="28"/>
  <c r="H47" i="28"/>
  <c r="H55" i="28"/>
  <c r="H65" i="28"/>
  <c r="H60" i="28"/>
  <c r="H32" i="28"/>
  <c r="H50" i="28"/>
  <c r="H56" i="28"/>
  <c r="H23" i="28"/>
  <c r="H77" i="28"/>
  <c r="H79" i="28"/>
  <c r="H66" i="28"/>
  <c r="H59" i="28"/>
  <c r="H49" i="28"/>
  <c r="H35" i="28"/>
  <c r="H12" i="28"/>
  <c r="H38" i="28"/>
  <c r="H64" i="28"/>
  <c r="H81" i="28"/>
  <c r="H15" i="28"/>
  <c r="H71" i="28"/>
  <c r="H75" i="28"/>
  <c r="H10" i="28"/>
  <c r="H33" i="28"/>
  <c r="H58" i="28"/>
  <c r="I81" i="28"/>
  <c r="I82" i="28"/>
  <c r="I80" i="28"/>
  <c r="I56" i="28"/>
  <c r="I30" i="28"/>
  <c r="I2" i="28"/>
  <c r="I70" i="28"/>
  <c r="I28" i="28"/>
  <c r="I77" i="28"/>
  <c r="I69" i="28"/>
  <c r="I61" i="28"/>
  <c r="I51" i="28"/>
  <c r="I43" i="28"/>
  <c r="I76" i="28"/>
  <c r="I68" i="28"/>
  <c r="I60" i="28"/>
  <c r="I50" i="28"/>
  <c r="I42" i="28"/>
  <c r="I34" i="28"/>
  <c r="I26" i="28"/>
  <c r="I52" i="28"/>
  <c r="I35" i="28"/>
  <c r="I75" i="28"/>
  <c r="I67" i="28"/>
  <c r="I59" i="28"/>
  <c r="I49" i="28"/>
  <c r="I41" i="28"/>
  <c r="I33" i="28"/>
  <c r="I73" i="28"/>
  <c r="I39" i="28"/>
  <c r="I72" i="28"/>
  <c r="I46" i="28"/>
  <c r="I79" i="28"/>
  <c r="I63" i="28"/>
  <c r="I45" i="28"/>
  <c r="I29" i="28"/>
  <c r="I78" i="28"/>
  <c r="I44" i="28"/>
  <c r="I27" i="28"/>
  <c r="I74" i="28"/>
  <c r="I66" i="28"/>
  <c r="I58" i="28"/>
  <c r="I48" i="28"/>
  <c r="I40" i="28"/>
  <c r="I32" i="28"/>
  <c r="I65" i="28"/>
  <c r="I57" i="28"/>
  <c r="I47" i="28"/>
  <c r="I31" i="28"/>
  <c r="I64" i="28"/>
  <c r="I38" i="28"/>
  <c r="I71" i="28"/>
  <c r="I55" i="28"/>
  <c r="I37" i="28"/>
  <c r="I62" i="28"/>
  <c r="I36" i="28"/>
  <c r="I4" i="28"/>
  <c r="I11" i="28"/>
  <c r="I24" i="28"/>
  <c r="I14" i="28"/>
  <c r="I25" i="28"/>
  <c r="I15" i="28"/>
  <c r="I21" i="28"/>
  <c r="I10" i="28"/>
  <c r="I7" i="28"/>
  <c r="I22" i="28"/>
  <c r="I16" i="28"/>
  <c r="I8" i="28"/>
  <c r="I12" i="28"/>
  <c r="I18" i="28"/>
  <c r="I20" i="28"/>
  <c r="I3" i="28"/>
  <c r="I17" i="28"/>
  <c r="I23" i="28"/>
  <c r="I9" i="28"/>
  <c r="I5" i="28"/>
  <c r="I13" i="28"/>
  <c r="C163" i="29" l="1"/>
  <c r="C155" i="29"/>
  <c r="C147" i="29"/>
  <c r="C139" i="29"/>
  <c r="C131" i="29"/>
  <c r="C123" i="29"/>
  <c r="C115" i="29"/>
  <c r="C107" i="29"/>
  <c r="C99" i="29"/>
  <c r="C91" i="29"/>
  <c r="C83" i="29"/>
  <c r="K83" i="29" s="1"/>
  <c r="C75" i="29"/>
  <c r="K75" i="29" s="1"/>
  <c r="C67" i="29"/>
  <c r="K67" i="29" s="1"/>
  <c r="C59" i="29"/>
  <c r="K59" i="29" s="1"/>
  <c r="C51" i="29"/>
  <c r="K51" i="29" s="1"/>
  <c r="C43" i="29"/>
  <c r="K43" i="29" s="1"/>
  <c r="C35" i="29"/>
  <c r="K35" i="29" s="1"/>
  <c r="C27" i="29"/>
  <c r="K27" i="29" s="1"/>
  <c r="C19" i="29"/>
  <c r="K19" i="29" s="1"/>
  <c r="C89" i="29"/>
  <c r="K89" i="29" s="1"/>
  <c r="C162" i="29"/>
  <c r="C154" i="29"/>
  <c r="C146" i="29"/>
  <c r="C138" i="29"/>
  <c r="C130" i="29"/>
  <c r="C122" i="29"/>
  <c r="C114" i="29"/>
  <c r="C106" i="29"/>
  <c r="C98" i="29"/>
  <c r="C90" i="29"/>
  <c r="C82" i="29"/>
  <c r="K82" i="29" s="1"/>
  <c r="C74" i="29"/>
  <c r="K74" i="29" s="1"/>
  <c r="C66" i="29"/>
  <c r="K66" i="29" s="1"/>
  <c r="C58" i="29"/>
  <c r="K58" i="29" s="1"/>
  <c r="C50" i="29"/>
  <c r="K50" i="29" s="1"/>
  <c r="C42" i="29"/>
  <c r="K42" i="29" s="1"/>
  <c r="C34" i="29"/>
  <c r="K34" i="29" s="1"/>
  <c r="C26" i="29"/>
  <c r="K26" i="29" s="1"/>
  <c r="C18" i="29"/>
  <c r="K18" i="29" s="1"/>
  <c r="C137" i="29"/>
  <c r="C105" i="29"/>
  <c r="C65" i="29"/>
  <c r="K65" i="29" s="1"/>
  <c r="C25" i="29"/>
  <c r="K25" i="29" s="1"/>
  <c r="C161" i="29"/>
  <c r="C153" i="29"/>
  <c r="C145" i="29"/>
  <c r="C129" i="29"/>
  <c r="C97" i="29"/>
  <c r="C57" i="29"/>
  <c r="K57" i="29" s="1"/>
  <c r="C17" i="29"/>
  <c r="K17" i="29" s="1"/>
  <c r="C159" i="29"/>
  <c r="C151" i="29"/>
  <c r="C143" i="29"/>
  <c r="C135" i="29"/>
  <c r="C127" i="29"/>
  <c r="C119" i="29"/>
  <c r="C111" i="29"/>
  <c r="C103" i="29"/>
  <c r="C95" i="29"/>
  <c r="K95" i="29" s="1"/>
  <c r="C87" i="29"/>
  <c r="K87" i="29" s="1"/>
  <c r="C79" i="29"/>
  <c r="K79" i="29" s="1"/>
  <c r="C71" i="29"/>
  <c r="K71" i="29" s="1"/>
  <c r="C63" i="29"/>
  <c r="K63" i="29" s="1"/>
  <c r="C55" i="29"/>
  <c r="K55" i="29" s="1"/>
  <c r="C47" i="29"/>
  <c r="K47" i="29" s="1"/>
  <c r="C39" i="29"/>
  <c r="K39" i="29" s="1"/>
  <c r="C31" i="29"/>
  <c r="K31" i="29" s="1"/>
  <c r="C23" i="29"/>
  <c r="K23" i="29" s="1"/>
  <c r="C15" i="29"/>
  <c r="K15" i="29" s="1"/>
  <c r="C158" i="29"/>
  <c r="C150" i="29"/>
  <c r="C142" i="29"/>
  <c r="C134" i="29"/>
  <c r="C126" i="29"/>
  <c r="C118" i="29"/>
  <c r="C110" i="29"/>
  <c r="C102" i="29"/>
  <c r="C94" i="29"/>
  <c r="K94" i="29" s="1"/>
  <c r="C86" i="29"/>
  <c r="K86" i="29" s="1"/>
  <c r="C78" i="29"/>
  <c r="K78" i="29" s="1"/>
  <c r="C70" i="29"/>
  <c r="K70" i="29" s="1"/>
  <c r="C62" i="29"/>
  <c r="K62" i="29" s="1"/>
  <c r="C54" i="29"/>
  <c r="K54" i="29" s="1"/>
  <c r="C46" i="29"/>
  <c r="K46" i="29" s="1"/>
  <c r="C38" i="29"/>
  <c r="K38" i="29" s="1"/>
  <c r="C30" i="29"/>
  <c r="K30" i="29" s="1"/>
  <c r="C22" i="29"/>
  <c r="K22" i="29" s="1"/>
  <c r="C81" i="29"/>
  <c r="K81" i="29" s="1"/>
  <c r="C33" i="29"/>
  <c r="K33" i="29" s="1"/>
  <c r="C157" i="29"/>
  <c r="C149" i="29"/>
  <c r="C141" i="29"/>
  <c r="C133" i="29"/>
  <c r="C125" i="29"/>
  <c r="C117" i="29"/>
  <c r="C109" i="29"/>
  <c r="C101" i="29"/>
  <c r="C93" i="29"/>
  <c r="K93" i="29" s="1"/>
  <c r="C85" i="29"/>
  <c r="K85" i="29" s="1"/>
  <c r="C77" i="29"/>
  <c r="K77" i="29" s="1"/>
  <c r="C69" i="29"/>
  <c r="K69" i="29" s="1"/>
  <c r="C61" i="29"/>
  <c r="C53" i="29"/>
  <c r="K53" i="29" s="1"/>
  <c r="C45" i="29"/>
  <c r="K45" i="29" s="1"/>
  <c r="C37" i="29"/>
  <c r="K37" i="29" s="1"/>
  <c r="C29" i="29"/>
  <c r="K29" i="29" s="1"/>
  <c r="C21" i="29"/>
  <c r="K21" i="29" s="1"/>
  <c r="C121" i="29"/>
  <c r="C73" i="29"/>
  <c r="K73" i="29" s="1"/>
  <c r="C49" i="29"/>
  <c r="K49" i="29" s="1"/>
  <c r="C164" i="29"/>
  <c r="C156" i="29"/>
  <c r="C148" i="29"/>
  <c r="C140" i="29"/>
  <c r="C132" i="29"/>
  <c r="C124" i="29"/>
  <c r="C116" i="29"/>
  <c r="C108" i="29"/>
  <c r="C100" i="29"/>
  <c r="C92" i="29"/>
  <c r="K92" i="29" s="1"/>
  <c r="C84" i="29"/>
  <c r="K84" i="29" s="1"/>
  <c r="C76" i="29"/>
  <c r="K76" i="29" s="1"/>
  <c r="C68" i="29"/>
  <c r="K68" i="29" s="1"/>
  <c r="C60" i="29"/>
  <c r="K60" i="29" s="1"/>
  <c r="C52" i="29"/>
  <c r="K52" i="29" s="1"/>
  <c r="C44" i="29"/>
  <c r="C36" i="29"/>
  <c r="K36" i="29" s="1"/>
  <c r="C28" i="29"/>
  <c r="K28" i="29" s="1"/>
  <c r="C20" i="29"/>
  <c r="K20" i="29" s="1"/>
  <c r="C113" i="29"/>
  <c r="C41" i="29"/>
  <c r="K41" i="29" s="1"/>
  <c r="C104" i="29"/>
  <c r="C40" i="29"/>
  <c r="K40" i="29" s="1"/>
  <c r="C160" i="29"/>
  <c r="C96" i="29"/>
  <c r="C32" i="29"/>
  <c r="K32" i="29" s="1"/>
  <c r="C144" i="29"/>
  <c r="C80" i="29"/>
  <c r="K80" i="29" s="1"/>
  <c r="C16" i="29"/>
  <c r="K16" i="29" s="1"/>
  <c r="C56" i="29"/>
  <c r="K56" i="29" s="1"/>
  <c r="C88" i="29"/>
  <c r="K88" i="29" s="1"/>
  <c r="C136" i="29"/>
  <c r="C72" i="29"/>
  <c r="K72" i="29" s="1"/>
  <c r="C64" i="29"/>
  <c r="K64" i="29" s="1"/>
  <c r="C120" i="29"/>
  <c r="C48" i="29"/>
  <c r="K48" i="29" s="1"/>
  <c r="C24" i="29"/>
  <c r="K24" i="29" s="1"/>
  <c r="C128" i="29"/>
  <c r="C112" i="29"/>
  <c r="C152" i="29"/>
  <c r="L68" i="29" l="1"/>
  <c r="L15" i="29"/>
  <c r="F64" i="29"/>
  <c r="E64" i="29"/>
  <c r="D64" i="29"/>
  <c r="B64" i="29" s="1"/>
  <c r="F32" i="29"/>
  <c r="E32" i="29"/>
  <c r="D32" i="29"/>
  <c r="B32" i="29" s="1"/>
  <c r="F28" i="29"/>
  <c r="E28" i="29"/>
  <c r="D28" i="29"/>
  <c r="B28" i="29" s="1"/>
  <c r="F92" i="29"/>
  <c r="E92" i="29"/>
  <c r="D92" i="29"/>
  <c r="B92" i="29" s="1"/>
  <c r="F156" i="29"/>
  <c r="E156" i="29"/>
  <c r="D156" i="29"/>
  <c r="B156" i="29" s="1"/>
  <c r="F45" i="29"/>
  <c r="D45" i="29"/>
  <c r="B45" i="29" s="1"/>
  <c r="E45" i="29"/>
  <c r="F109" i="29"/>
  <c r="E109" i="29"/>
  <c r="D109" i="29"/>
  <c r="B109" i="29" s="1"/>
  <c r="D81" i="29"/>
  <c r="B81" i="29" s="1"/>
  <c r="F81" i="29"/>
  <c r="E81" i="29"/>
  <c r="E78" i="29"/>
  <c r="D78" i="29"/>
  <c r="B78" i="29" s="1"/>
  <c r="F78" i="29"/>
  <c r="E142" i="29"/>
  <c r="D142" i="29"/>
  <c r="B142" i="29" s="1"/>
  <c r="F142" i="29"/>
  <c r="F55" i="29"/>
  <c r="E55" i="29"/>
  <c r="D55" i="29"/>
  <c r="B55" i="29" s="1"/>
  <c r="F119" i="29"/>
  <c r="E119" i="29"/>
  <c r="D119" i="29"/>
  <c r="B119" i="29" s="1"/>
  <c r="D97" i="29"/>
  <c r="B97" i="29" s="1"/>
  <c r="F97" i="29"/>
  <c r="E97" i="29"/>
  <c r="D137" i="29"/>
  <c r="B137" i="29" s="1"/>
  <c r="F137" i="29"/>
  <c r="E137" i="29"/>
  <c r="E74" i="29"/>
  <c r="D74" i="29"/>
  <c r="B74" i="29" s="1"/>
  <c r="F74" i="29"/>
  <c r="E138" i="29"/>
  <c r="D138" i="29"/>
  <c r="B138" i="29" s="1"/>
  <c r="F138" i="29"/>
  <c r="F43" i="29"/>
  <c r="E43" i="29"/>
  <c r="D43" i="29"/>
  <c r="B43" i="29" s="1"/>
  <c r="F107" i="29"/>
  <c r="E107" i="29"/>
  <c r="D107" i="29"/>
  <c r="B107" i="29" s="1"/>
  <c r="F72" i="29"/>
  <c r="E72" i="29"/>
  <c r="D72" i="29"/>
  <c r="B72" i="29" s="1"/>
  <c r="F96" i="29"/>
  <c r="D96" i="29"/>
  <c r="B96" i="29" s="1"/>
  <c r="E96" i="29"/>
  <c r="F36" i="29"/>
  <c r="E36" i="29"/>
  <c r="D36" i="29"/>
  <c r="B36" i="29" s="1"/>
  <c r="F100" i="29"/>
  <c r="E100" i="29"/>
  <c r="D100" i="29"/>
  <c r="B100" i="29" s="1"/>
  <c r="F164" i="29"/>
  <c r="E164" i="29"/>
  <c r="D164" i="29"/>
  <c r="B164" i="29" s="1"/>
  <c r="F53" i="29"/>
  <c r="D53" i="29"/>
  <c r="B53" i="29" s="1"/>
  <c r="E53" i="29"/>
  <c r="F117" i="29"/>
  <c r="D117" i="29"/>
  <c r="B117" i="29" s="1"/>
  <c r="E117" i="29"/>
  <c r="E22" i="29"/>
  <c r="D22" i="29"/>
  <c r="B22" i="29" s="1"/>
  <c r="F22" i="29"/>
  <c r="E86" i="29"/>
  <c r="D86" i="29"/>
  <c r="B86" i="29" s="1"/>
  <c r="F86" i="29"/>
  <c r="E150" i="29"/>
  <c r="D150" i="29"/>
  <c r="B150" i="29" s="1"/>
  <c r="F150" i="29"/>
  <c r="F63" i="29"/>
  <c r="E63" i="29"/>
  <c r="D63" i="29"/>
  <c r="B63" i="29" s="1"/>
  <c r="F127" i="29"/>
  <c r="E127" i="29"/>
  <c r="D127" i="29"/>
  <c r="B127" i="29" s="1"/>
  <c r="D129" i="29"/>
  <c r="B129" i="29" s="1"/>
  <c r="F129" i="29"/>
  <c r="E129" i="29"/>
  <c r="E18" i="29"/>
  <c r="D18" i="29"/>
  <c r="B18" i="29" s="1"/>
  <c r="F18" i="29"/>
  <c r="F82" i="29"/>
  <c r="E82" i="29"/>
  <c r="D82" i="29"/>
  <c r="B82" i="29" s="1"/>
  <c r="E146" i="29"/>
  <c r="F146" i="29"/>
  <c r="D146" i="29"/>
  <c r="B146" i="29" s="1"/>
  <c r="F51" i="29"/>
  <c r="E51" i="29"/>
  <c r="D51" i="29"/>
  <c r="B51" i="29" s="1"/>
  <c r="F115" i="29"/>
  <c r="E115" i="29"/>
  <c r="D115" i="29"/>
  <c r="B115" i="29" s="1"/>
  <c r="F152" i="29"/>
  <c r="E152" i="29"/>
  <c r="D152" i="29"/>
  <c r="B152" i="29" s="1"/>
  <c r="F136" i="29"/>
  <c r="D136" i="29"/>
  <c r="B136" i="29" s="1"/>
  <c r="E136" i="29"/>
  <c r="F160" i="29"/>
  <c r="E160" i="29"/>
  <c r="D160" i="29"/>
  <c r="B160" i="29" s="1"/>
  <c r="F44" i="29"/>
  <c r="E44" i="29"/>
  <c r="D44" i="29"/>
  <c r="B44" i="29" s="1"/>
  <c r="F108" i="29"/>
  <c r="E108" i="29"/>
  <c r="D108" i="29"/>
  <c r="B108" i="29" s="1"/>
  <c r="D49" i="29"/>
  <c r="B49" i="29" s="1"/>
  <c r="F49" i="29"/>
  <c r="E49" i="29"/>
  <c r="F61" i="29"/>
  <c r="D61" i="29"/>
  <c r="B61" i="29" s="1"/>
  <c r="E61" i="29"/>
  <c r="E125" i="29"/>
  <c r="F125" i="29"/>
  <c r="D125" i="29"/>
  <c r="B125" i="29" s="1"/>
  <c r="E30" i="29"/>
  <c r="D30" i="29"/>
  <c r="B30" i="29" s="1"/>
  <c r="F30" i="29"/>
  <c r="E94" i="29"/>
  <c r="D94" i="29"/>
  <c r="B94" i="29" s="1"/>
  <c r="F94" i="29"/>
  <c r="E158" i="29"/>
  <c r="D158" i="29"/>
  <c r="B158" i="29" s="1"/>
  <c r="F158" i="29"/>
  <c r="F71" i="29"/>
  <c r="E71" i="29"/>
  <c r="D71" i="29"/>
  <c r="B71" i="29" s="1"/>
  <c r="F135" i="29"/>
  <c r="E135" i="29"/>
  <c r="D135" i="29"/>
  <c r="B135" i="29" s="1"/>
  <c r="D145" i="29"/>
  <c r="B145" i="29" s="1"/>
  <c r="F145" i="29"/>
  <c r="E145" i="29"/>
  <c r="E26" i="29"/>
  <c r="D26" i="29"/>
  <c r="B26" i="29" s="1"/>
  <c r="F26" i="29"/>
  <c r="K90" i="29"/>
  <c r="E90" i="29"/>
  <c r="D90" i="29"/>
  <c r="B90" i="29" s="1"/>
  <c r="F90" i="29"/>
  <c r="E154" i="29"/>
  <c r="F154" i="29"/>
  <c r="D154" i="29"/>
  <c r="B154" i="29" s="1"/>
  <c r="F59" i="29"/>
  <c r="E59" i="29"/>
  <c r="D59" i="29"/>
  <c r="B59" i="29" s="1"/>
  <c r="F123" i="29"/>
  <c r="E123" i="29"/>
  <c r="D123" i="29"/>
  <c r="B123" i="29" s="1"/>
  <c r="K61" i="29"/>
  <c r="L56" i="29" s="1"/>
  <c r="F112" i="29"/>
  <c r="D112" i="29"/>
  <c r="B112" i="29" s="1"/>
  <c r="E112" i="29"/>
  <c r="F88" i="29"/>
  <c r="E88" i="29"/>
  <c r="D88" i="29"/>
  <c r="B88" i="29" s="1"/>
  <c r="F40" i="29"/>
  <c r="E40" i="29"/>
  <c r="D40" i="29"/>
  <c r="B40" i="29" s="1"/>
  <c r="F52" i="29"/>
  <c r="E52" i="29"/>
  <c r="D52" i="29"/>
  <c r="B52" i="29" s="1"/>
  <c r="F116" i="29"/>
  <c r="E116" i="29"/>
  <c r="D116" i="29"/>
  <c r="B116" i="29" s="1"/>
  <c r="D73" i="29"/>
  <c r="B73" i="29" s="1"/>
  <c r="F73" i="29"/>
  <c r="E73" i="29"/>
  <c r="F69" i="29"/>
  <c r="D69" i="29"/>
  <c r="B69" i="29" s="1"/>
  <c r="E69" i="29"/>
  <c r="F133" i="29"/>
  <c r="D133" i="29"/>
  <c r="B133" i="29" s="1"/>
  <c r="E133" i="29"/>
  <c r="E38" i="29"/>
  <c r="D38" i="29"/>
  <c r="B38" i="29" s="1"/>
  <c r="F38" i="29"/>
  <c r="E102" i="29"/>
  <c r="D102" i="29"/>
  <c r="B102" i="29" s="1"/>
  <c r="F102" i="29"/>
  <c r="F15" i="29"/>
  <c r="E15" i="29"/>
  <c r="D15" i="29"/>
  <c r="B15" i="29" s="1"/>
  <c r="F79" i="29"/>
  <c r="E79" i="29"/>
  <c r="D79" i="29"/>
  <c r="B79" i="29" s="1"/>
  <c r="F143" i="29"/>
  <c r="E143" i="29"/>
  <c r="D143" i="29"/>
  <c r="B143" i="29" s="1"/>
  <c r="D153" i="29"/>
  <c r="B153" i="29" s="1"/>
  <c r="F153" i="29"/>
  <c r="E153" i="29"/>
  <c r="E34" i="29"/>
  <c r="D34" i="29"/>
  <c r="B34" i="29" s="1"/>
  <c r="F34" i="29"/>
  <c r="E98" i="29"/>
  <c r="F98" i="29"/>
  <c r="D98" i="29"/>
  <c r="B98" i="29" s="1"/>
  <c r="F162" i="29"/>
  <c r="E162" i="29"/>
  <c r="D162" i="29"/>
  <c r="B162" i="29" s="1"/>
  <c r="F67" i="29"/>
  <c r="E67" i="29"/>
  <c r="D67" i="29"/>
  <c r="B67" i="29" s="1"/>
  <c r="F131" i="29"/>
  <c r="E131" i="29"/>
  <c r="D131" i="29"/>
  <c r="B131" i="29" s="1"/>
  <c r="F128" i="29"/>
  <c r="E128" i="29"/>
  <c r="D128" i="29"/>
  <c r="B128" i="29" s="1"/>
  <c r="F56" i="29"/>
  <c r="E56" i="29"/>
  <c r="D56" i="29"/>
  <c r="B56" i="29" s="1"/>
  <c r="D104" i="29"/>
  <c r="B104" i="29" s="1"/>
  <c r="F104" i="29"/>
  <c r="E104" i="29"/>
  <c r="F60" i="29"/>
  <c r="E60" i="29"/>
  <c r="D60" i="29"/>
  <c r="B60" i="29" s="1"/>
  <c r="F124" i="29"/>
  <c r="E124" i="29"/>
  <c r="D124" i="29"/>
  <c r="B124" i="29" s="1"/>
  <c r="D121" i="29"/>
  <c r="B121" i="29" s="1"/>
  <c r="F121" i="29"/>
  <c r="E121" i="29"/>
  <c r="F77" i="29"/>
  <c r="D77" i="29"/>
  <c r="B77" i="29" s="1"/>
  <c r="E77" i="29"/>
  <c r="F141" i="29"/>
  <c r="D141" i="29"/>
  <c r="B141" i="29" s="1"/>
  <c r="E141" i="29"/>
  <c r="E46" i="29"/>
  <c r="D46" i="29"/>
  <c r="B46" i="29" s="1"/>
  <c r="F46" i="29"/>
  <c r="E110" i="29"/>
  <c r="D110" i="29"/>
  <c r="B110" i="29" s="1"/>
  <c r="F110" i="29"/>
  <c r="F23" i="29"/>
  <c r="E23" i="29"/>
  <c r="D23" i="29"/>
  <c r="B23" i="29" s="1"/>
  <c r="F87" i="29"/>
  <c r="E87" i="29"/>
  <c r="D87" i="29"/>
  <c r="B87" i="29" s="1"/>
  <c r="F151" i="29"/>
  <c r="E151" i="29"/>
  <c r="D151" i="29"/>
  <c r="B151" i="29" s="1"/>
  <c r="D161" i="29"/>
  <c r="B161" i="29" s="1"/>
  <c r="F161" i="29"/>
  <c r="E161" i="29"/>
  <c r="E42" i="29"/>
  <c r="D42" i="29"/>
  <c r="B42" i="29" s="1"/>
  <c r="F42" i="29"/>
  <c r="E106" i="29"/>
  <c r="D106" i="29"/>
  <c r="B106" i="29" s="1"/>
  <c r="F106" i="29"/>
  <c r="D89" i="29"/>
  <c r="B89" i="29" s="1"/>
  <c r="F89" i="29"/>
  <c r="E89" i="29"/>
  <c r="F75" i="29"/>
  <c r="E75" i="29"/>
  <c r="D75" i="29"/>
  <c r="B75" i="29" s="1"/>
  <c r="F139" i="29"/>
  <c r="E139" i="29"/>
  <c r="D139" i="29"/>
  <c r="B139" i="29" s="1"/>
  <c r="F24" i="29"/>
  <c r="E24" i="29"/>
  <c r="D24" i="29"/>
  <c r="B24" i="29" s="1"/>
  <c r="F16" i="29"/>
  <c r="E16" i="29"/>
  <c r="D16" i="29"/>
  <c r="B16" i="29" s="1"/>
  <c r="D41" i="29"/>
  <c r="B41" i="29" s="1"/>
  <c r="F41" i="29"/>
  <c r="E41" i="29"/>
  <c r="F68" i="29"/>
  <c r="E68" i="29"/>
  <c r="D68" i="29"/>
  <c r="B68" i="29" s="1"/>
  <c r="F132" i="29"/>
  <c r="E132" i="29"/>
  <c r="D132" i="29"/>
  <c r="B132" i="29" s="1"/>
  <c r="F21" i="29"/>
  <c r="D21" i="29"/>
  <c r="B21" i="29" s="1"/>
  <c r="E21" i="29"/>
  <c r="F85" i="29"/>
  <c r="D85" i="29"/>
  <c r="B85" i="29" s="1"/>
  <c r="E85" i="29"/>
  <c r="F149" i="29"/>
  <c r="E149" i="29"/>
  <c r="D149" i="29"/>
  <c r="B149" i="29" s="1"/>
  <c r="E54" i="29"/>
  <c r="D54" i="29"/>
  <c r="B54" i="29" s="1"/>
  <c r="F54" i="29"/>
  <c r="E118" i="29"/>
  <c r="D118" i="29"/>
  <c r="B118" i="29" s="1"/>
  <c r="F118" i="29"/>
  <c r="F31" i="29"/>
  <c r="E31" i="29"/>
  <c r="D31" i="29"/>
  <c r="B31" i="29" s="1"/>
  <c r="F95" i="29"/>
  <c r="E95" i="29"/>
  <c r="D95" i="29"/>
  <c r="B95" i="29" s="1"/>
  <c r="F159" i="29"/>
  <c r="E159" i="29"/>
  <c r="D159" i="29"/>
  <c r="B159" i="29" s="1"/>
  <c r="D25" i="29"/>
  <c r="B25" i="29" s="1"/>
  <c r="F25" i="29"/>
  <c r="E25" i="29"/>
  <c r="E50" i="29"/>
  <c r="D50" i="29"/>
  <c r="B50" i="29" s="1"/>
  <c r="F50" i="29"/>
  <c r="E114" i="29"/>
  <c r="D114" i="29"/>
  <c r="B114" i="29" s="1"/>
  <c r="F114" i="29"/>
  <c r="F19" i="29"/>
  <c r="E19" i="29"/>
  <c r="D19" i="29"/>
  <c r="B19" i="29" s="1"/>
  <c r="F83" i="29"/>
  <c r="E83" i="29"/>
  <c r="D83" i="29"/>
  <c r="B83" i="29" s="1"/>
  <c r="F147" i="29"/>
  <c r="E147" i="29"/>
  <c r="D147" i="29"/>
  <c r="B147" i="29" s="1"/>
  <c r="K44" i="29"/>
  <c r="L39" i="29" s="1"/>
  <c r="F48" i="29"/>
  <c r="E48" i="29"/>
  <c r="D48" i="29"/>
  <c r="B48" i="29" s="1"/>
  <c r="F80" i="29"/>
  <c r="E80" i="29"/>
  <c r="D80" i="29"/>
  <c r="B80" i="29" s="1"/>
  <c r="D113" i="29"/>
  <c r="B113" i="29" s="1"/>
  <c r="F113" i="29"/>
  <c r="E113" i="29"/>
  <c r="F76" i="29"/>
  <c r="E76" i="29"/>
  <c r="D76" i="29"/>
  <c r="B76" i="29" s="1"/>
  <c r="F140" i="29"/>
  <c r="E140" i="29"/>
  <c r="D140" i="29"/>
  <c r="B140" i="29" s="1"/>
  <c r="F29" i="29"/>
  <c r="D29" i="29"/>
  <c r="B29" i="29" s="1"/>
  <c r="E29" i="29"/>
  <c r="F93" i="29"/>
  <c r="D93" i="29"/>
  <c r="B93" i="29" s="1"/>
  <c r="E93" i="29"/>
  <c r="F157" i="29"/>
  <c r="D157" i="29"/>
  <c r="B157" i="29" s="1"/>
  <c r="E157" i="29"/>
  <c r="E62" i="29"/>
  <c r="D62" i="29"/>
  <c r="B62" i="29" s="1"/>
  <c r="F62" i="29"/>
  <c r="E126" i="29"/>
  <c r="D126" i="29"/>
  <c r="B126" i="29" s="1"/>
  <c r="F126" i="29"/>
  <c r="F39" i="29"/>
  <c r="E39" i="29"/>
  <c r="D39" i="29"/>
  <c r="B39" i="29" s="1"/>
  <c r="F103" i="29"/>
  <c r="E103" i="29"/>
  <c r="D103" i="29"/>
  <c r="B103" i="29" s="1"/>
  <c r="D17" i="29"/>
  <c r="B17" i="29" s="1"/>
  <c r="F17" i="29"/>
  <c r="E17" i="29"/>
  <c r="D65" i="29"/>
  <c r="B65" i="29" s="1"/>
  <c r="F65" i="29"/>
  <c r="E65" i="29"/>
  <c r="E58" i="29"/>
  <c r="D58" i="29"/>
  <c r="B58" i="29" s="1"/>
  <c r="F58" i="29"/>
  <c r="F122" i="29"/>
  <c r="E122" i="29"/>
  <c r="D122" i="29"/>
  <c r="B122" i="29" s="1"/>
  <c r="F27" i="29"/>
  <c r="E27" i="29"/>
  <c r="D27" i="29"/>
  <c r="B27" i="29" s="1"/>
  <c r="F91" i="29"/>
  <c r="K91" i="29"/>
  <c r="E91" i="29"/>
  <c r="D91" i="29"/>
  <c r="B91" i="29" s="1"/>
  <c r="F155" i="29"/>
  <c r="E155" i="29"/>
  <c r="D155" i="29"/>
  <c r="B155" i="29" s="1"/>
  <c r="F120" i="29"/>
  <c r="E120" i="29"/>
  <c r="D120" i="29"/>
  <c r="B120" i="29" s="1"/>
  <c r="D144" i="29"/>
  <c r="B144" i="29" s="1"/>
  <c r="F144" i="29"/>
  <c r="E144" i="29"/>
  <c r="F20" i="29"/>
  <c r="E20" i="29"/>
  <c r="D20" i="29"/>
  <c r="B20" i="29" s="1"/>
  <c r="F84" i="29"/>
  <c r="E84" i="29"/>
  <c r="D84" i="29"/>
  <c r="B84" i="29" s="1"/>
  <c r="F148" i="29"/>
  <c r="E148" i="29"/>
  <c r="D148" i="29"/>
  <c r="B148" i="29" s="1"/>
  <c r="F37" i="29"/>
  <c r="D37" i="29"/>
  <c r="B37" i="29" s="1"/>
  <c r="E37" i="29"/>
  <c r="F101" i="29"/>
  <c r="D101" i="29"/>
  <c r="B101" i="29" s="1"/>
  <c r="E101" i="29"/>
  <c r="D33" i="29"/>
  <c r="B33" i="29" s="1"/>
  <c r="F33" i="29"/>
  <c r="E33" i="29"/>
  <c r="E70" i="29"/>
  <c r="D70" i="29"/>
  <c r="B70" i="29" s="1"/>
  <c r="F70" i="29"/>
  <c r="E134" i="29"/>
  <c r="D134" i="29"/>
  <c r="B134" i="29" s="1"/>
  <c r="F134" i="29"/>
  <c r="F47" i="29"/>
  <c r="E47" i="29"/>
  <c r="D47" i="29"/>
  <c r="B47" i="29" s="1"/>
  <c r="F111" i="29"/>
  <c r="E111" i="29"/>
  <c r="D111" i="29"/>
  <c r="B111" i="29" s="1"/>
  <c r="D57" i="29"/>
  <c r="B57" i="29" s="1"/>
  <c r="F57" i="29"/>
  <c r="E57" i="29"/>
  <c r="D105" i="29"/>
  <c r="B105" i="29" s="1"/>
  <c r="F105" i="29"/>
  <c r="E105" i="29"/>
  <c r="E66" i="29"/>
  <c r="D66" i="29"/>
  <c r="B66" i="29" s="1"/>
  <c r="F66" i="29"/>
  <c r="E130" i="29"/>
  <c r="D130" i="29"/>
  <c r="B130" i="29" s="1"/>
  <c r="F130" i="29"/>
  <c r="F35" i="29"/>
  <c r="E35" i="29"/>
  <c r="D35" i="29"/>
  <c r="B35" i="29" s="1"/>
  <c r="F99" i="29"/>
  <c r="E99" i="29"/>
  <c r="D99" i="29"/>
  <c r="B99" i="29" s="1"/>
  <c r="F163" i="29"/>
  <c r="E163" i="29"/>
  <c r="D163" i="29"/>
  <c r="B163" i="29" s="1"/>
  <c r="H16" i="29"/>
  <c r="G16" i="29"/>
  <c r="H15" i="29"/>
  <c r="G15" i="29"/>
  <c r="H42" i="29"/>
  <c r="G42" i="29"/>
  <c r="H72" i="29"/>
  <c r="G72" i="29"/>
  <c r="H34" i="29"/>
  <c r="G34" i="29"/>
  <c r="H61" i="29"/>
  <c r="G61" i="29"/>
  <c r="H97" i="29"/>
  <c r="G97" i="29"/>
  <c r="H135" i="29"/>
  <c r="G135" i="29"/>
  <c r="H27" i="29"/>
  <c r="G27" i="29"/>
  <c r="H47" i="29"/>
  <c r="G47" i="29"/>
  <c r="H101" i="29"/>
  <c r="G101" i="29"/>
  <c r="H110" i="29"/>
  <c r="G110" i="29"/>
  <c r="H130" i="29"/>
  <c r="G130" i="29"/>
  <c r="H162" i="29"/>
  <c r="G162" i="29"/>
  <c r="H57" i="29"/>
  <c r="G57" i="29"/>
  <c r="H74" i="29"/>
  <c r="G74" i="29"/>
  <c r="H121" i="29"/>
  <c r="G121" i="29"/>
  <c r="G151" i="29"/>
  <c r="H151" i="29"/>
  <c r="H37" i="29"/>
  <c r="G37" i="29"/>
  <c r="G91" i="29"/>
  <c r="H91" i="29"/>
  <c r="H140" i="29"/>
  <c r="G140" i="29"/>
  <c r="H38" i="29"/>
  <c r="G38" i="29"/>
  <c r="H63" i="29"/>
  <c r="G63" i="29"/>
  <c r="H79" i="29"/>
  <c r="G79" i="29"/>
  <c r="H117" i="29"/>
  <c r="G117" i="29"/>
  <c r="H137" i="29"/>
  <c r="G137" i="29"/>
  <c r="H161" i="29"/>
  <c r="G161" i="29"/>
  <c r="H88" i="29"/>
  <c r="G88" i="29"/>
  <c r="H77" i="29"/>
  <c r="G77" i="29"/>
  <c r="H17" i="29"/>
  <c r="G17" i="29"/>
  <c r="H50" i="29"/>
  <c r="G50" i="29"/>
  <c r="H102" i="29"/>
  <c r="G102" i="29"/>
  <c r="H112" i="29"/>
  <c r="G112" i="29"/>
  <c r="G131" i="29"/>
  <c r="H131" i="29"/>
  <c r="H30" i="29"/>
  <c r="G30" i="29"/>
  <c r="H60" i="29"/>
  <c r="G60" i="29"/>
  <c r="H76" i="29"/>
  <c r="G76" i="29"/>
  <c r="G127" i="29"/>
  <c r="H127" i="29"/>
  <c r="H153" i="29"/>
  <c r="G153" i="29"/>
  <c r="H40" i="29"/>
  <c r="G40" i="29"/>
  <c r="H93" i="29"/>
  <c r="G93" i="29"/>
  <c r="H144" i="29"/>
  <c r="G144" i="29"/>
  <c r="H41" i="29"/>
  <c r="G41" i="29"/>
  <c r="H65" i="29"/>
  <c r="G65" i="29"/>
  <c r="H81" i="29"/>
  <c r="G81" i="29"/>
  <c r="H118" i="29"/>
  <c r="G118" i="29"/>
  <c r="G143" i="29"/>
  <c r="H143" i="29"/>
  <c r="H109" i="29"/>
  <c r="G109" i="29"/>
  <c r="H142" i="29"/>
  <c r="G142" i="29"/>
  <c r="H56" i="29"/>
  <c r="G56" i="29"/>
  <c r="G103" i="29"/>
  <c r="H103" i="29"/>
  <c r="H114" i="29"/>
  <c r="G114" i="29"/>
  <c r="H145" i="29"/>
  <c r="G145" i="29"/>
  <c r="H33" i="29"/>
  <c r="G33" i="29"/>
  <c r="H62" i="29"/>
  <c r="G62" i="29"/>
  <c r="H78" i="29"/>
  <c r="G78" i="29"/>
  <c r="H133" i="29"/>
  <c r="G133" i="29"/>
  <c r="H164" i="29"/>
  <c r="G164" i="29"/>
  <c r="G43" i="29"/>
  <c r="H43" i="29"/>
  <c r="H100" i="29"/>
  <c r="G100" i="29"/>
  <c r="H146" i="29"/>
  <c r="G146" i="29"/>
  <c r="H44" i="29"/>
  <c r="G44" i="29"/>
  <c r="H67" i="29"/>
  <c r="G67" i="29"/>
  <c r="H83" i="29"/>
  <c r="G83" i="29"/>
  <c r="H120" i="29"/>
  <c r="G120" i="29"/>
  <c r="H149" i="29"/>
  <c r="G149" i="29"/>
  <c r="H53" i="29"/>
  <c r="G53" i="29"/>
  <c r="H136" i="29"/>
  <c r="G136" i="29"/>
  <c r="H23" i="29"/>
  <c r="G23" i="29"/>
  <c r="H26" i="29"/>
  <c r="G26" i="29"/>
  <c r="H104" i="29"/>
  <c r="G104" i="29"/>
  <c r="H148" i="29"/>
  <c r="G148" i="29"/>
  <c r="H36" i="29"/>
  <c r="G36" i="29"/>
  <c r="H64" i="29"/>
  <c r="G64" i="29"/>
  <c r="H80" i="29"/>
  <c r="G80" i="29"/>
  <c r="H134" i="29"/>
  <c r="G134" i="29"/>
  <c r="H18" i="29"/>
  <c r="G18" i="29"/>
  <c r="H52" i="29"/>
  <c r="G52" i="29"/>
  <c r="H111" i="29"/>
  <c r="G111" i="29"/>
  <c r="H147" i="29"/>
  <c r="G147" i="29"/>
  <c r="H45" i="29"/>
  <c r="G45" i="29"/>
  <c r="H69" i="29"/>
  <c r="G69" i="29"/>
  <c r="G87" i="29"/>
  <c r="H87" i="29"/>
  <c r="H122" i="29"/>
  <c r="G122" i="29"/>
  <c r="H150" i="29"/>
  <c r="G150" i="29"/>
  <c r="H20" i="29"/>
  <c r="G20" i="29"/>
  <c r="H108" i="29"/>
  <c r="G108" i="29"/>
  <c r="G35" i="29"/>
  <c r="H35" i="29"/>
  <c r="H22" i="29"/>
  <c r="G22" i="29"/>
  <c r="G59" i="29"/>
  <c r="H59" i="29"/>
  <c r="G115" i="29"/>
  <c r="H115" i="29"/>
  <c r="H28" i="29"/>
  <c r="G28" i="29"/>
  <c r="H29" i="29"/>
  <c r="G29" i="29"/>
  <c r="H89" i="29"/>
  <c r="G89" i="29"/>
  <c r="H105" i="29"/>
  <c r="G105" i="29"/>
  <c r="H116" i="29"/>
  <c r="G116" i="29"/>
  <c r="H152" i="29"/>
  <c r="G152" i="29"/>
  <c r="H46" i="29"/>
  <c r="G46" i="29"/>
  <c r="H66" i="29"/>
  <c r="G66" i="29"/>
  <c r="H84" i="29"/>
  <c r="G84" i="29"/>
  <c r="H138" i="29"/>
  <c r="G138" i="29"/>
  <c r="H21" i="29"/>
  <c r="G21" i="29"/>
  <c r="H58" i="29"/>
  <c r="G58" i="29"/>
  <c r="H113" i="29"/>
  <c r="G113" i="29"/>
  <c r="H155" i="29"/>
  <c r="G155" i="29"/>
  <c r="H49" i="29"/>
  <c r="G49" i="29"/>
  <c r="G71" i="29"/>
  <c r="H71" i="29"/>
  <c r="H92" i="29"/>
  <c r="G92" i="29"/>
  <c r="H123" i="29"/>
  <c r="G123" i="29"/>
  <c r="H154" i="29"/>
  <c r="G154" i="29"/>
  <c r="H128" i="29"/>
  <c r="G128" i="29"/>
  <c r="G19" i="29"/>
  <c r="H19" i="29"/>
  <c r="H32" i="29"/>
  <c r="G32" i="29"/>
  <c r="H90" i="29"/>
  <c r="G90" i="29"/>
  <c r="H106" i="29"/>
  <c r="G106" i="29"/>
  <c r="G119" i="29"/>
  <c r="H119" i="29"/>
  <c r="H156" i="29"/>
  <c r="G156" i="29"/>
  <c r="H48" i="29"/>
  <c r="G48" i="29"/>
  <c r="H68" i="29"/>
  <c r="G68" i="29"/>
  <c r="H85" i="29"/>
  <c r="G85" i="29"/>
  <c r="G139" i="29"/>
  <c r="H139" i="29"/>
  <c r="H24" i="29"/>
  <c r="G24" i="29"/>
  <c r="H82" i="29"/>
  <c r="G82" i="29"/>
  <c r="H129" i="29"/>
  <c r="G129" i="29"/>
  <c r="H157" i="29"/>
  <c r="G157" i="29"/>
  <c r="H54" i="29"/>
  <c r="G54" i="29"/>
  <c r="H73" i="29"/>
  <c r="G73" i="29"/>
  <c r="H95" i="29"/>
  <c r="G95" i="29"/>
  <c r="H125" i="29"/>
  <c r="G125" i="29"/>
  <c r="H160" i="29"/>
  <c r="G160" i="29"/>
  <c r="H99" i="29"/>
  <c r="G99" i="29"/>
  <c r="H25" i="29"/>
  <c r="G25" i="29"/>
  <c r="H39" i="29"/>
  <c r="G39" i="29"/>
  <c r="H98" i="29"/>
  <c r="G98" i="29"/>
  <c r="G107" i="29"/>
  <c r="H107" i="29"/>
  <c r="H124" i="29"/>
  <c r="G124" i="29"/>
  <c r="H159" i="29"/>
  <c r="G159" i="29"/>
  <c r="H51" i="29"/>
  <c r="G51" i="29"/>
  <c r="H70" i="29"/>
  <c r="G70" i="29"/>
  <c r="H94" i="29"/>
  <c r="G94" i="29"/>
  <c r="H141" i="29"/>
  <c r="G141" i="29"/>
  <c r="G31" i="29"/>
  <c r="H31" i="29"/>
  <c r="H86" i="29"/>
  <c r="G86" i="29"/>
  <c r="H132" i="29"/>
  <c r="G132" i="29"/>
  <c r="H158" i="29"/>
  <c r="G158" i="29"/>
  <c r="G55" i="29"/>
  <c r="H55" i="29"/>
  <c r="G75" i="29"/>
  <c r="H75" i="29"/>
  <c r="H96" i="29"/>
  <c r="G96" i="29"/>
  <c r="H126" i="29"/>
  <c r="G126" i="29"/>
  <c r="G163" i="29"/>
  <c r="H163" i="29"/>
  <c r="L82" i="29" l="1"/>
  <c r="I71" i="29"/>
  <c r="I87" i="29"/>
  <c r="I43" i="29"/>
  <c r="I59" i="29"/>
  <c r="I31" i="29"/>
  <c r="I94" i="29"/>
  <c r="I25" i="29"/>
  <c r="I95" i="29"/>
  <c r="I85" i="29"/>
  <c r="I92" i="29"/>
  <c r="I84" i="29"/>
  <c r="I28" i="29"/>
  <c r="I83" i="29"/>
  <c r="I78" i="29"/>
  <c r="I65" i="29"/>
  <c r="I40" i="29"/>
  <c r="I60" i="29"/>
  <c r="I88" i="29"/>
  <c r="I79" i="29"/>
  <c r="I74" i="29"/>
  <c r="I72" i="29"/>
  <c r="I86" i="29"/>
  <c r="I70" i="29"/>
  <c r="I73" i="29"/>
  <c r="I82" i="29"/>
  <c r="I68" i="29"/>
  <c r="I58" i="29"/>
  <c r="I66" i="29"/>
  <c r="I80" i="29"/>
  <c r="I53" i="29"/>
  <c r="I67" i="29"/>
  <c r="I62" i="29"/>
  <c r="I41" i="29"/>
  <c r="I30" i="29"/>
  <c r="I50" i="29"/>
  <c r="I63" i="29"/>
  <c r="I37" i="29"/>
  <c r="I57" i="29"/>
  <c r="I42" i="29"/>
  <c r="I51" i="29"/>
  <c r="I54" i="29"/>
  <c r="I24" i="29"/>
  <c r="I48" i="29"/>
  <c r="I90" i="29"/>
  <c r="I49" i="29"/>
  <c r="I21" i="29"/>
  <c r="I46" i="29"/>
  <c r="I89" i="29"/>
  <c r="I20" i="29"/>
  <c r="I69" i="29"/>
  <c r="I52" i="29"/>
  <c r="I64" i="29"/>
  <c r="I26" i="29"/>
  <c r="I44" i="29"/>
  <c r="I33" i="29"/>
  <c r="I56" i="29"/>
  <c r="I17" i="29"/>
  <c r="I38" i="29"/>
  <c r="I47" i="29"/>
  <c r="I61" i="29"/>
  <c r="I15" i="29"/>
  <c r="I75" i="29"/>
  <c r="I55" i="29"/>
  <c r="I39" i="29"/>
  <c r="I32" i="29"/>
  <c r="I29" i="29"/>
  <c r="I22" i="29"/>
  <c r="I45" i="29"/>
  <c r="I18" i="29"/>
  <c r="I36" i="29"/>
  <c r="I23" i="29"/>
  <c r="I81" i="29"/>
  <c r="I93" i="29"/>
  <c r="I76" i="29"/>
  <c r="I77" i="29"/>
  <c r="I27" i="29"/>
  <c r="I34" i="29"/>
  <c r="I16" i="29"/>
  <c r="I19" i="29"/>
  <c r="I35" i="29"/>
  <c r="I91" i="29"/>
</calcChain>
</file>

<file path=xl/sharedStrings.xml><?xml version="1.0" encoding="utf-8"?>
<sst xmlns="http://schemas.openxmlformats.org/spreadsheetml/2006/main" count="1087" uniqueCount="710">
  <si>
    <t>EVALUACIÓN INDEPENDIENTE SISTEMA DE CONTROL INTERNO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</si>
  <si>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 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</si>
  <si>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Orientaciones Generales</t>
  </si>
  <si>
    <r>
      <t xml:space="preserve">El archivo contiene las siguientes hojas:
 -  </t>
    </r>
    <r>
      <rPr>
        <b/>
        <sz val="11"/>
        <rFont val="Arial Narrow"/>
        <family val="2"/>
      </rPr>
      <t xml:space="preserve">Pestañas por cada uno de los componentes de control interno: </t>
    </r>
    <r>
      <rPr>
        <sz val="10"/>
        <rFont val="Arial Narrow"/>
        <family val="2"/>
      </rPr>
      <t>"Ambiente de Control", "Evaluación de riesgos", "Actividades de control", "Información y Comunicación", y " Actividades de Monitoreo". las cuales cuentan todas con la siguiente estructura:</t>
    </r>
  </si>
  <si>
    <t>Columna</t>
  </si>
  <si>
    <t>Descripción</t>
  </si>
  <si>
    <r>
      <t xml:space="preserve">
</t>
    </r>
    <r>
      <rPr>
        <b/>
        <i/>
        <u/>
        <sz val="9"/>
        <rFont val="Arial Narrow"/>
        <family val="2"/>
      </rPr>
      <t>Lineamiento X:</t>
    </r>
  </si>
  <si>
    <t>Esta columna define los lineamientos generales para cada uno de los componentes del MECI y se asocian los temas específicos que se deben analizar en cada uno.</t>
  </si>
  <si>
    <t>DIMENSIÓN O POLÍTICA DEL MIPG ASOCIADA AL REQUERIMIENTO</t>
  </si>
  <si>
    <t>En esta columna se deben asociar la (las) dimensión (es), así como la (s) política (s) de gestión y desempeño que permiten el desarrollo del tema en la entidad, en el marco del Modelo Integrado de Planeación y Gestión MIPG.</t>
  </si>
  <si>
    <r>
      <t>Evaluación "</t>
    </r>
    <r>
      <rPr>
        <b/>
        <sz val="10"/>
        <rFont val="Arial Narrow"/>
        <family val="2"/>
      </rPr>
      <t>si se encuentra Presente"</t>
    </r>
    <r>
      <rPr>
        <b/>
        <sz val="9"/>
        <rFont val="Arial Narrow"/>
        <family val="2"/>
      </rPr>
      <t xml:space="preserve">
</t>
    </r>
    <r>
      <rPr>
        <sz val="9"/>
        <rFont val="Arial Narrow"/>
        <family val="2"/>
      </rPr>
      <t>Referencia a Procesos, Manuales/Políticas de Operación/Procedimientos/Instructivos u otros desarrollos que den cuente de su aplicación</t>
    </r>
  </si>
  <si>
    <t>Indicar el nombre del proceso, manual, política de operación, procedimiento o instructivo en donde se encuentra documentado y su fuente de consulta.
De acuerdo con lo identificado como resultado de la evaluación del requerimiento, seleccione de la lista desplegable 1, 2 o 3 de acuerdo con las siguientes definiciones:
1 - No existen actividades diseñadas para cubrir el requerimiento. 
2 - Existen actividades diseñadas o en proceso de diseño, pero éstas no se encuentran documentadas en las políticas/procedimientos u otras herramientas
3 - Las actividades se encuentran diseñadas, documentadas y socializadas de acuerdo con el requerimiento.
Nota: Entiendase "diseñada" como aquella actividad que cuenta con un responsable(s), periodicidad (cada cuanto se realiza ), proposito (objetivo), Como se lleva a cabo  (procedimiento), qué pasa con las desviaciones y/o excepciones (producto de su ejecucion) y cuenta con evidencia (documentacion).</t>
  </si>
  <si>
    <t>EVIDENCIA DEL CONTROL</t>
  </si>
  <si>
    <t>No.</t>
  </si>
  <si>
    <t>Relaciona el consecutivo de las evidencias que se identifican en relación con la efectividad del control.</t>
  </si>
  <si>
    <t>Referencia a Análisis y verificaciones en el marco del Comité Institucional de Coordinación de Control Interno</t>
  </si>
  <si>
    <t>Indicar las acciones que se han adelantado para evaluar el estado del Sistema de Control Interno en el marco del Comité Institucional de Coordinación de Control Interno. Acciones entendidas a las modificaciones, actualizaciones y actividades de fortalecimiento del sistema a partir de la normatividad vigente.</t>
  </si>
  <si>
    <t xml:space="preserve">Observaciones de la evaluacion independiente (tener encuenta papel de  líneas de defensa) </t>
  </si>
  <si>
    <t>Indicar las acciones que se han adelantado en el marco de la evaluaciòn independiente (auditoria interna), sobre el estado del Sistema de Control Interno . Acciones entendidas en la evaluación y monitoreo de la efectividad del control, incluyendo el seguimiento a los controles de la primera y segunda linea de defensa.</t>
  </si>
  <si>
    <r>
      <t xml:space="preserve">Evaluación </t>
    </r>
    <r>
      <rPr>
        <b/>
        <sz val="10"/>
        <rFont val="Arial Narrow"/>
        <family val="2"/>
      </rPr>
      <t>"si se encuentra Funcionando"</t>
    </r>
  </si>
  <si>
    <t>Seleccionar de la lista desplegable 1, 2 o 3 de acuerdo con los siguientes criterios y basado en los resultados reportados por la Oficina de Control Interno así:
1 - El control  no opera como está diseñado o bien no está presente (no se ha implementado)
2 - El control opera como está diseñado pero con algunas falencias
3-  El control opera como está diseñado y es efectivo frente al cumplimiento de los objetivos y para evitar la materialización del riesgo.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</si>
  <si>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xml:space="preserve">, permitiéndo definir puntos de mejora a través de los componentes del MECI y </t>
    </r>
    <r>
      <rPr>
        <sz val="10"/>
        <color rgb="FFFF0000"/>
        <rFont val="Arial Narrow"/>
        <family val="2"/>
      </rPr>
      <t>su articulacion</t>
    </r>
    <r>
      <rPr>
        <sz val="10"/>
        <rFont val="Arial Narrow"/>
        <family val="2"/>
      </rPr>
      <t xml:space="preserve"> con las Dimensiones del MIPG.</t>
    </r>
  </si>
  <si>
    <t xml:space="preserve">Clasificación </t>
  </si>
  <si>
    <t>Observaciones del Control</t>
  </si>
  <si>
    <t>Mantenimiento del Control</t>
  </si>
  <si>
    <t>Cuando en el análisis de los requerimientos en los diferentes componentes del MECI se cuente con aspectos evaluados en nivel 3 (presente) y 3 (funcionando).</t>
  </si>
  <si>
    <t>Se encuentra presente y funciona correctamente, por lo tanto se requiere acciones o actividades  dirigidas a su mantenimiento dentro del marco de las lineas de defensa.</t>
  </si>
  <si>
    <t>Oportunidad de Mejora</t>
  </si>
  <si>
    <t>Cuando en el análisis de los requerimientos en los diferentes componentes del MECI se cuente con aspectos evaluados en nivel 2 (presente) y 3 (funcionando).</t>
  </si>
  <si>
    <t xml:space="preserve"> Se encuentra presente  y funcionando, pero requiere mejoras frente a su diseño, ya que  opera de manera efectiva
</t>
  </si>
  <si>
    <t>Deficiencia de Control
(Diseño o Ejecución)</t>
  </si>
  <si>
    <t>Cuando en el análisis de los requerimientos en los diferentes componentes del MECI se cuente con aspectos evaluados en nivel 2 (presente) y 2 (funcionando); 3 (presente) y 1 (funcionando); 3 (presente) y 2 (funcionando); 2 (presente) y 1 (funcionando)</t>
  </si>
  <si>
    <t>Se encuentra presente y funcionando, pero requiere acciones dirigidas a fortalecer  o mejorar su diseño y/o ejecucion.</t>
  </si>
  <si>
    <t>Deficiencia de Control Mayor
(Diseño y Ejecución)</t>
  </si>
  <si>
    <t>Cuando en el análisis de los requerimientos en los diferentes componentes del MECI se cuente con aspectos evaluados en nivel 1 (presente) y 1 (funcionando);1 (presente) y 2 (funcionando); 1(presente) y 3 (funcionando).</t>
  </si>
  <si>
    <t>No se encuentra presente  por lo tanto no esta funcionando, lo que hace que se requieran acciones dirigidas a fortalecer su diseño y puesta en marcha</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</si>
  <si>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si el Sistema de Control Interno evaluado se encuentra </t>
    </r>
    <r>
      <rPr>
        <b/>
        <sz val="10"/>
        <rFont val="Arial Narrow"/>
        <family val="2"/>
      </rPr>
      <t>PRESENTE y FUNCIONANDO</t>
    </r>
    <r>
      <rPr>
        <sz val="10"/>
        <rFont val="Arial Narrow"/>
        <family val="2"/>
      </rPr>
      <t>, definiendo puntos de mejora a través de los componentes del MECI y su relación con las Dimensiones del MIPG.</t>
    </r>
  </si>
  <si>
    <r>
      <t xml:space="preserve"> -</t>
    </r>
    <r>
      <rPr>
        <sz val="11"/>
        <rFont val="Arial Narrow"/>
        <family val="2"/>
      </rPr>
      <t xml:space="preserve"> </t>
    </r>
    <r>
      <rPr>
        <b/>
        <sz val="11"/>
        <rFont val="Arial Narrow"/>
        <family val="2"/>
      </rPr>
      <t>Definiciones:</t>
    </r>
    <r>
      <rPr>
        <sz val="11"/>
        <rFont val="Arial Narrow"/>
        <family val="2"/>
      </rPr>
      <t xml:space="preserve"> A</t>
    </r>
    <r>
      <rPr>
        <sz val="10"/>
        <rFont val="Arial Narrow"/>
        <family val="2"/>
      </rPr>
      <t>lgunos términos asociados a con control interno y utilizados en diferentes partes del formato.</t>
    </r>
  </si>
  <si>
    <t>Términos y Definiciones</t>
  </si>
  <si>
    <t>Término</t>
  </si>
  <si>
    <t>Actividad de control</t>
  </si>
  <si>
    <t>Acciones establecidas en los procesos, políticas, procedimientos u otras herramientas que permiten que se lleven a cabo las instrucciones de la Administración para mitigar los riesgos relacionados con el logro de los objetivos. Las Actividades de Control son un Componente del Control Interno.</t>
  </si>
  <si>
    <t>Alta Dirección</t>
  </si>
  <si>
    <t>Comprende los empleos del Nivel Directivo a los cuales corresponden funciones de dirección general, de formulación de políticas institucionales y de adopción de planes, programas y proyectos. (Decreto 770 de 2005)</t>
  </si>
  <si>
    <t>Ambiente de control</t>
  </si>
  <si>
    <t>El ambiente de control establece el tono de una organización. Es la base de los otros componentes del control interno pues define los valores y principios con los cuales se rige la entidad e influye en la conciencia de los servidores sobre la forma en que se deben llevar a cabo las operaciones.</t>
  </si>
  <si>
    <t>Comité Institucional de Coordinación de Control Interno</t>
  </si>
  <si>
    <t>Instancia del más alto nivel jerárquico, creado como órgano asesor e instancia decisora en los asuntos de control interno, de oblgatoria conformación para todas las entidades estatales. (Ley 87 de 1993, art 13 y Decreto 648 de 2017).</t>
  </si>
  <si>
    <t>Comité Institucional de Gestión y Desempeño</t>
  </si>
  <si>
    <t>Instancia del más alto nivel jerárquico, encargado de orientar la implementación y operación del Modelo Integrado de Planeación y Gestión MIPG, de oblgatoria conformación para todas las entidades estatales. (Decreto 1499 de 2017).</t>
  </si>
  <si>
    <t>Componente</t>
  </si>
  <si>
    <t>Uno de los cinco elementos del Modelo Estándar de Control Interno MECI.</t>
  </si>
  <si>
    <t>Conflicto de interés</t>
  </si>
  <si>
    <t>Situación en la cual un auditor interno, que ocupa un puesto de confianza, tiene interés personal o profesional en competencia con otros intereses. Tales intereses pueden hacerle difícil el cumplimiento imparcial de sus tareas. (Tomado de las Normas Internacionales de Auditoría Interna Norma 1120)
En el sector público el conflicto de interés existe cuando el interés personal de quien ejerce una función pública colisiona con los deberes y obligaciones del cargo que desempeña. (Guía Conflictos de Interés de Servidores Públicos. Función Pública. 2018).</t>
  </si>
  <si>
    <t>Control Interno</t>
  </si>
  <si>
    <t>Estructura de procesos, políticas, procedimientos, manuales y otras herramientas diseñadas por la entidad para proporcionar seguridad razonable de que los objetivos y metas se alcanzarán y que los eventos no deseados se evitaran o bien se detectaran y corregirán.</t>
  </si>
  <si>
    <t>Control interno efectivo</t>
  </si>
  <si>
    <t>El Sistema de Control Interno para que sea efectivo requiere que cada uno de los cinco componentes del MECI y sus lineamientos, estén presentes, funcionando y operando de manera articulada con el MIPG.</t>
  </si>
  <si>
    <t>Controles generales de TI</t>
  </si>
  <si>
    <t>Actividades de control que ayudan a asegurar la apropiada operación de la tecnología, incluyen los controles sobre la infraestructura de tecnología, seguridad de la información, adquisición de tecnología  su desarrollo y mantenimiento.</t>
  </si>
  <si>
    <t>Corrupción</t>
  </si>
  <si>
    <t>Posibilidad de que por acción u omisión, se use el poder para desviar la gestión de lo público hacia un beneficio privado.  (Secretaría de Transparencia)</t>
  </si>
  <si>
    <t>COSO</t>
  </si>
  <si>
    <t>Committe of Sponsoring Organizations of the Treadway Commission (por sus siglas en inglés). COSO es una iniciativa conjunta de cinco organizaciones del sector privado y se dedica a liderar el desarrollo de marcos y guías en control interno y gestión de riesgos.</t>
  </si>
  <si>
    <t>Cumplimiento</t>
  </si>
  <si>
    <t>Esta relacionado con el cumplimiento a las leyes y regulaciones aplicables a la Entidad.</t>
  </si>
  <si>
    <t>Deficiencia de control</t>
  </si>
  <si>
    <t xml:space="preserve">Es una falla con respecto a un control particular o actividad de control. </t>
  </si>
  <si>
    <t>Deficiencia del Sistema de control interno</t>
  </si>
  <si>
    <t>Se asocia a fallas o brechas en un componente o componentes y sus lineamientos que tiene la capacidad para generar riesgos.</t>
  </si>
  <si>
    <t>Evaluación de Riesgos</t>
  </si>
  <si>
    <t>Proceso que permite a cada entidad identificar, analizar y administrar riesgos relevantes para el logro de sus objetivos.</t>
  </si>
  <si>
    <t>Evaluaciones continuas</t>
  </si>
  <si>
    <t>Corresponden a actividades (manuales o automáticas) que sirven para monitorear la efectividad del control interno en el día a día de las operaciones. Estas evaluaciones incluyen actos regulares de administración, comparaciones, conciliaciones y otras acciones rutinarias.</t>
  </si>
  <si>
    <t>Evaluaciones separadas</t>
  </si>
  <si>
    <t>Incluye autoevaluaciones, en las que las personas responsables por una unidad o función particular (2a línea de defensa) determinan la efectividad de los controles para sus actividades clave para el logro de los objetivos institucionales.
Así mismo, se incluyen las evaluaciones realizadas por las Auditorías (interna y externa).</t>
  </si>
  <si>
    <t>Funcionando</t>
  </si>
  <si>
    <t>La determinación que los componentes y lineamientos son aplicados de forma sistemática como han sido diseñados y es posible analizar su efectividad para evitar la materialización de riesgos, mediante el contraste de información relevante.</t>
  </si>
  <si>
    <t>Integridad</t>
  </si>
  <si>
    <t>El economista estadounidense Anthony Downs “la integridad consiste en la coherencia entre las declaraciones y las realizaciones[1]”, entendiéndose esta como una característica personal, que en el sector público también se refiere al cumplimiento de la promesa que cada servidor le hace al Estado y a la ciudadanía de ejercer a cabalidad su labor. (Tomado micrositio MIPG, Dimensión Talento Humano).</t>
  </si>
  <si>
    <t>Lineamiento</t>
  </si>
  <si>
    <t>Especificaciones fundamentales asociadas a cada uno de los componentes del MECI que permitirán establecer la efectividad del Sistema de Control Interno.</t>
  </si>
  <si>
    <t xml:space="preserve">Mantenimieto del Control </t>
  </si>
  <si>
    <t xml:space="preserve">Verificar periodicamente el control y ante cambios en el entorno externo o interno realizar los ajustes correspondientes o incluir un nuevo control </t>
  </si>
  <si>
    <t>Mapa de riesgos</t>
  </si>
  <si>
    <t>Herramiento cualitativa que permite identificar los riesgos de la organización en el cual se presenta una descripción de cada uno de ellos y su tratamiento.</t>
  </si>
  <si>
    <t>Hallazgo en el cual sí existe un cumplimiento, pero a pesar de ello se determina, bajo criterios objetivos, que existe un margen de mejora para optimizar más una actividad, tarea o proceso concreto.</t>
  </si>
  <si>
    <t>Política</t>
  </si>
  <si>
    <t>Declaración emitida por la administración acerca de lo que debe hacerse para el control. Las políticas son la base para la definición de procedimientos.</t>
  </si>
  <si>
    <t>Presente</t>
  </si>
  <si>
    <t>La determinación que existen en diseño e implementación de los requerimientos asociados a las políticas de gestión y desempeño.</t>
  </si>
  <si>
    <t>Procedimiento</t>
  </si>
  <si>
    <t>Actividades desagregadas que implementan una política o determinan acciones concretas para la consecución de un objetivo o meta.</t>
  </si>
  <si>
    <t>Reporte</t>
  </si>
  <si>
    <t>Información suministrada por diferentes instancias de la entidad, que incluye datos internos y externos, así como información financiera y no financiera, necesaria para la toma de decisiones.</t>
  </si>
  <si>
    <t>Riesgo</t>
  </si>
  <si>
    <t>La posibilidad de que un evento ocurra y afecte de manera adversa el logro de los objetivos.</t>
  </si>
  <si>
    <t>Riesgo inherente</t>
  </si>
  <si>
    <t xml:space="preserve">El riesgo frente al logro de los objetivos en ausencia de cualquier acción por parte de la administración para afectar el impacto o probabilidad de dicho riesgo. </t>
  </si>
  <si>
    <t>Riesgo residual</t>
  </si>
  <si>
    <t>El riesgo frente al logro de los objetivos que permanece una vez la respuesta al riesgo ha sido diseñada e implementada por parte de la administración.</t>
  </si>
  <si>
    <t>Segregación de Funciones</t>
  </si>
  <si>
    <t>Se refiere a la asignación de las responsabilidades con diferentes niveles de autorización con el fin de reducir errores o posibles situaciones de corrupción durante el normal desarrollo de sus funciones.</t>
  </si>
  <si>
    <t>Seguridad razonable</t>
  </si>
  <si>
    <t>Determina que no importa que tan bien esté diseñado e implementado el control interno, no se puede garantizar que los objetivos de la entidad se van a cumplir. Esto por las limitaciones inherentes de todo Sistemas de Control Interno.</t>
  </si>
  <si>
    <t xml:space="preserve">Evaluación Independiente </t>
  </si>
  <si>
    <t xml:space="preserve">Se entiende como las prácticas de examen al control interno y ejercicio de auditoría llevadas a cabo por la oficina de control interno o quien haga sus veces, teniendo en cuenta las normas de auditoria generalmente aceptadas. </t>
  </si>
  <si>
    <t>Lineas de Defensa</t>
  </si>
  <si>
    <t>Esquema de asignación de responsabilidades, adaptada del Modelo de las 3 Líneas de Defensa” del Instituto de Auditores, el cual proporciona una manera simple y efectiva para mejorar las comunicaciones en la gestión de riesgos y control mediante la aclaración de las funciones y deberes esenciales relacionados, que permiten contar con diferentes niveles para el control.</t>
  </si>
  <si>
    <t>AMBIENTE DE CONTROL</t>
  </si>
  <si>
    <t>La entidad debe asegurar un ambiente de control que le permita disponer de las condiciones mínimas para el ejercicio del control interno. Esto se logra con el compromiso, liderazgo y los lineamientos de la alta dirección y del Comité Institucional de Coordinación de Control Interno. El Ambiente de Control es el fundamento de todos los demás componentes del control interno, se incluyen la integridad y valores éticos, la competencia (capacidad) de los servidores de la entidad; la manera en que la Alta Dirección asigna autoridad y responsabilidad, así como también el direccionamiento estratégico definido.</t>
  </si>
  <si>
    <t>ID</t>
  </si>
  <si>
    <r>
      <rPr>
        <b/>
        <u/>
        <sz val="11"/>
        <color theme="0"/>
        <rFont val="Arial Narrow"/>
        <family val="2"/>
      </rPr>
      <t>Lineamiento 1:</t>
    </r>
    <r>
      <rPr>
        <sz val="11"/>
        <color theme="0"/>
        <rFont val="Arial Narrow"/>
        <family val="2"/>
      </rPr>
      <t xml:space="preserve"> 
La entidad demuestra el compromiso con la integridad (valores) y principios del servicio público</t>
    </r>
  </si>
  <si>
    <r>
      <t xml:space="preserve">Explicación de cómo la Entidad </t>
    </r>
    <r>
      <rPr>
        <b/>
        <u/>
        <sz val="11"/>
        <color theme="0"/>
        <rFont val="Arial Narrow"/>
        <family val="2"/>
      </rPr>
      <t>evidencia</t>
    </r>
    <r>
      <rPr>
        <b/>
        <sz val="11"/>
        <color theme="0"/>
        <rFont val="Arial Narrow"/>
        <family val="2"/>
      </rPr>
      <t xml:space="preserve"> 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</si>
  <si>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</si>
  <si>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t xml:space="preserve">EVIDENCIA DEL CONTROL </t>
  </si>
  <si>
    <r>
      <t xml:space="preserve">Funcionando 
</t>
    </r>
    <r>
      <rPr>
        <i/>
        <sz val="11"/>
        <color theme="0"/>
        <rFont val="Arial Narrow"/>
        <family val="2"/>
      </rPr>
      <t>(1/2/3)</t>
    </r>
  </si>
  <si>
    <t xml:space="preserve">Evaluación </t>
  </si>
  <si>
    <t>EJEMPLO</t>
  </si>
  <si>
    <t xml:space="preserve"> Aplicación del Código de Integridad. (incluye análisis de desviaciones, convivencia laboral, temas disciplinarios internos, quejas o denuncias sobres los servidores de la entidad, u otros temas relacionados).</t>
  </si>
  <si>
    <t>Dimensión Talento Humano
Política Integridad</t>
  </si>
  <si>
    <t>Se implementó el Código de Integridad acorde con el esquema definido de 5 valores y sus lineamientos de conducta y se desarrollaron ejercicios internos con talleres para la socialización e interiorización a todos los servidores y contratistas de la entidad.</t>
  </si>
  <si>
    <t xml:space="preserve">Seguimiento al cumplimiento de la elaboracion y socializacion del Código de Integridad, con base en el informe presentando por la segunda linea de defensa (cuando aplique). </t>
  </si>
  <si>
    <t xml:space="preserve"> Se llevo a cabo un seguimiento a lo dispuesto en el marco del Comité Institucional de Coordinaciòn de Control Intenro, donde se determino la necesidad de estructurar el codigo de integridad siguiendo la metodologia de Funciòn Pùblica, para ello se delego como responsable del mismo al Secretario General.
Se encontro que se realizaron ejercicios ludicos y participativos para la construccion de los 5 valores institucionales, cada mes se  hacen campañas de interiorizacion de los mismo al personal de la entidad, teniendo como evidencia el compromiso de los funcionarios con el horario laboral, una reduccion del ausentismo asi como un bajo porcentaje de quejas por parte de los ciudadanos.
Por otra parte, se realiza seguimiento mensual por parte del Secretario General al cumplimiento de las actividades propuestas en el cronograma.</t>
  </si>
  <si>
    <t>En el marco del Comité Institucional de Control Interno bimensualmente se contrastan quejas internas y externas sobre situaciones irregulares.</t>
  </si>
  <si>
    <t>Se han analizado los temas más críticos acerca en relación con el ausentismo, acoso laboral, solicitudes de traslado y rotación del personal.</t>
  </si>
  <si>
    <t>1.1 Aplicación del Código de Integridad. (incluye análisis de desviaciones, convivencia laboral, temas disciplinarios internos, quejas o denuncias sobres los servidores de la entidad, u otros temas relacionados).</t>
  </si>
  <si>
    <t xml:space="preserve">1.2 Mecanismos para el manejo de conflictos de interés. </t>
  </si>
  <si>
    <t>1.3 Mecanismos frente a la detección y prevención del uso inadecuado de información privilegiada u otras situaciones que puedan implicar riesgos para la entidad.</t>
  </si>
  <si>
    <t>Dimensión Información y Comunicación
Política Transparencia y Acceso a la Información Pública
Política Gestión Documental</t>
  </si>
  <si>
    <t xml:space="preserve">1.4 La evaluación de las acciones transversales de integridad, mediante el monitoreo permanente de los riesgos de corrupción. </t>
  </si>
  <si>
    <t>Dimension Talento Humano
Politica de Integridad</t>
  </si>
  <si>
    <t xml:space="preserve">1.5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
</t>
  </si>
  <si>
    <t>Dimensión Direccionamiento Estratégico y Planeación
Plan Anticorrupción y de Atención al Ciudadano</t>
  </si>
  <si>
    <r>
      <rPr>
        <b/>
        <u/>
        <sz val="11"/>
        <color theme="0"/>
        <rFont val="Arial Narrow"/>
        <family val="2"/>
      </rPr>
      <t>Lineamiento 2:</t>
    </r>
    <r>
      <rPr>
        <sz val="11"/>
        <color theme="0"/>
        <rFont val="Arial Narrow"/>
        <family val="2"/>
      </rPr>
      <t xml:space="preserve"> 
Aplicación de mecanismos para ejercer una adecuada supervisión del Sistema de Control Interno </t>
    </r>
  </si>
  <si>
    <t>Evaluación</t>
  </si>
  <si>
    <t>Referencia de la evaluacion independiente por parte de la Oficina de Control Interno o quien haga sus veces</t>
  </si>
  <si>
    <t>2.1 Creación o actualización del Comité Institucional de Coordinación de Control Interno (incluye ajustes en periodicidad para reunión, articulación con el Comité Institucioanl de Gestión y Desempeño).</t>
  </si>
  <si>
    <t>Dimension Control Interno
Politica de Control Interno</t>
  </si>
  <si>
    <t>2.2 Definición y documentación del Esquema de Líneas de Defensa</t>
  </si>
  <si>
    <t>Dimension Control Interno
Politica de Control Interno
Lineas de defensa</t>
  </si>
  <si>
    <t>2.3 Definición de líneas de reporte en temas clave para la toma de decisiones, atendiendo el Esquema de Líneas de Defensa</t>
  </si>
  <si>
    <t>Dimension Control Interno
Politica de Control Interno
Linea de Defensa
Dimension de Informaciòn y Comunicaciòn</t>
  </si>
  <si>
    <r>
      <rPr>
        <b/>
        <u/>
        <sz val="11"/>
        <color theme="0"/>
        <rFont val="Arial Narrow"/>
        <family val="2"/>
      </rPr>
      <t>Lineamiento 3:</t>
    </r>
    <r>
      <rPr>
        <sz val="11"/>
        <color theme="0"/>
        <rFont val="Arial Narrow"/>
        <family val="2"/>
      </rPr>
      <t xml:space="preserve"> 
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r>
  </si>
  <si>
    <t>3.1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t>
  </si>
  <si>
    <t>Dimension de Direccionamiento Estrategico y Planeaciòn
Politica de Planeaciòn Institucional 
Dimension Control Interno</t>
  </si>
  <si>
    <t xml:space="preserve">3.2 La Alta Dirección frente a la política de Administración del Riesgo definen los niveles de aceptación del riesgo, teniendo en cuenta cada uno de los objetivos establecidos. </t>
  </si>
  <si>
    <t>Dimension Control Interno
Politica de Control Interno
Linea Estrategica</t>
  </si>
  <si>
    <t>3.3 Evaluación de la planeación estratégica, considerando alertas frente a posibles incumplimientos, necesidades de recursos, cambios en el entorno que puedan afectar su desarrollo, entre otros aspectos que garanticen de forma razonable su cumplimiento.</t>
  </si>
  <si>
    <t>Diimensiòn Evaluacion de Resultados 
Politica de Seguimiento y Evaluaciòn al Desemepeño Institucional
Dimension Control Interno
Lineas de defensa</t>
  </si>
  <si>
    <r>
      <rPr>
        <b/>
        <u/>
        <sz val="11"/>
        <color theme="0"/>
        <rFont val="Arial Narrow"/>
        <family val="2"/>
      </rPr>
      <t>Lineamiento 4:</t>
    </r>
    <r>
      <rPr>
        <sz val="11"/>
        <color theme="0"/>
        <rFont val="Arial Narrow"/>
        <family val="2"/>
      </rPr>
      <t xml:space="preserve"> 
Compromiso con la competencia de todo el personal, por lo que la gestión del talento humano tiene un carácter estratégico con el despliegue de actividades clave para todo el ciclo de vida del servidor público –ingreso, permanencia y retiro.</t>
    </r>
  </si>
  <si>
    <t>4.1 Evaluación de la Planeación Estratégica del Talento Humano.</t>
  </si>
  <si>
    <t>Dimension de Talento Humano
Politica Gestion Estrategica del Talento Humano
Dimension de Control Interno
Lineas de Defensa</t>
  </si>
  <si>
    <t>4.2 Evaluación de las actividades relacionadas con el Ingreso del personal.</t>
  </si>
  <si>
    <t>4.3 Evaluación de las actividades relacionadas con la permanencia del personal.</t>
  </si>
  <si>
    <t>4.4Analizar si se cuenta con políticas claras y comunicadas relacionadas con la responsabilidad de cada servidor sobre el desarrollo y mantenimiento del control interno (1a línea de defensa)</t>
  </si>
  <si>
    <t>4.5 Evaluación de las actividades relacionadas con el retiro del personal.</t>
  </si>
  <si>
    <t>4.6 Evaluar el impacto del Plan Institucional de Capacitación - PIC</t>
  </si>
  <si>
    <t>4.7 Evaluación frente a los productos y servicios en los cuales participan los contratistas de apoyo.</t>
  </si>
  <si>
    <r>
      <rPr>
        <b/>
        <u/>
        <sz val="11"/>
        <color theme="0"/>
        <rFont val="Arial Narrow"/>
        <family val="2"/>
      </rPr>
      <t>Lineamiento 5:</t>
    </r>
    <r>
      <rPr>
        <sz val="11"/>
        <color theme="0"/>
        <rFont val="Arial Narrow"/>
        <family val="2"/>
      </rPr>
      <t xml:space="preserve"> 
La entidad establece líneas de reporte dentro de la entidad para evaluar el funcionamiento del Sistema de Control Interno.</t>
    </r>
  </si>
  <si>
    <t>5.1 Acorde con la estructura del Esquema de Líneas de Defensa se han definido estándares de reporte, periodicidad y responsables frente a diferentes temas críticos de la entidad.</t>
  </si>
  <si>
    <t>Dimension de Informaciòn y Comunicaciòn
Dimensiòn de Control Interno
Lineas de Defensa</t>
  </si>
  <si>
    <t>5.2 La Alta Dirección analiza la información asociada con la generación de reportes financieros.</t>
  </si>
  <si>
    <t xml:space="preserve">
Dimensiòn de Control Interno
Linea de Estrategica</t>
  </si>
  <si>
    <t>5.3 Teniendo en cuenta la información suministrada por la 2a y 3a línea de defensa se toman decisiones a tiempo para garantizar el cumplimiento de las metas y objetivos.</t>
  </si>
  <si>
    <t>Dimensiòn de Control Interno
Lineas de Defensa</t>
  </si>
  <si>
    <t>5.4 Se evalúa la estructura de control a partir de los cambios en procesos, procedimientos, u otras herramientas, a fin de garantizar su adecuada formulación y afectación frente a la gestión del riesgo.</t>
  </si>
  <si>
    <t>Dimension de Gestion con Valores para Resultado
Politica de Fortalecimiento Organizacional y Simplificaciòn de Procesos
Dimension Control Interno
Lineas de Defensa</t>
  </si>
  <si>
    <t>5.5 La entidad aprueba y hace seguimiento al Plan Anual de Auditoría presentado y ejecutado por parte de la Oficina de Control Interno.</t>
  </si>
  <si>
    <t>Dimension Control Interno
Linea Estrategica</t>
  </si>
  <si>
    <t>5.6 La entidad analiza los informes presentados por la Oficina de Control Interno y evalúa su impacto en relación con la mejora institucional.</t>
  </si>
  <si>
    <t>EVALUACIÓN DE RIESGOS</t>
  </si>
  <si>
    <t xml:space="preserve">Este componente hace referencia al ejercicio efectuado bajo el liderazgo del equipo directivo y de todos los servidores de la entidad, y permite identificar, evaluar y gestionar eventos potenciales, tanto internos como externos, que puedan afectar el logro de los objetivos institucionales.
La condición para la evaluación de riesgos es el establecimiento de objetivos, vinculados a varios niveles de la entidad, lo que implica que la Alta Dirección define objetivos y los agrupa en categorías en todos los niveles de la entidad, con el fin de evaluarlos </t>
  </si>
  <si>
    <r>
      <rPr>
        <b/>
        <u/>
        <sz val="11"/>
        <color theme="0"/>
        <rFont val="Arial Narrow"/>
        <family val="2"/>
      </rPr>
      <t xml:space="preserve">Lineamiento 6: 
</t>
    </r>
    <r>
      <rPr>
        <b/>
        <sz val="11"/>
        <color theme="0"/>
        <rFont val="Arial Narrow"/>
        <family val="2"/>
      </rPr>
      <t xml:space="preserve">Definición de objetivos con suficiente claridad para identificar y evaluar los riesgos relacionados: i)Estratégicos; ii)Operativos; iii)Legales y Presupuestales; iv)De Información Financiera y no Financiera.
</t>
    </r>
  </si>
  <si>
    <r>
      <t xml:space="preserve">Explicación de cómo la Entidad </t>
    </r>
    <r>
      <rPr>
        <b/>
        <u/>
        <sz val="11"/>
        <color theme="0"/>
        <rFont val="Arial Narrow"/>
        <family val="2"/>
      </rPr>
      <t xml:space="preserve">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</si>
  <si>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 xml:space="preserve">Presente
</t>
    </r>
    <r>
      <rPr>
        <i/>
        <sz val="11"/>
        <color theme="0"/>
        <rFont val="Arial Narrow"/>
        <family val="2"/>
      </rPr>
      <t>(1/2/3)</t>
    </r>
  </si>
  <si>
    <r>
      <t xml:space="preserve">Funcionando
</t>
    </r>
    <r>
      <rPr>
        <i/>
        <sz val="11"/>
        <color theme="0"/>
        <rFont val="Arial Narrow"/>
        <family val="2"/>
      </rPr>
      <t>(1/2/3)</t>
    </r>
  </si>
  <si>
    <t>6.1  La Entidad cuenta con mecanismos para vincular o relacionar el plan estratégico con los objetivos estratégicos y estos a su vez con los objetivos operativos.</t>
  </si>
  <si>
    <t>Dimension de Direccionamiento Estratetegico y Planeacion.
Politica de Planeacion Institucional</t>
  </si>
  <si>
    <t>6.2 Los objetivos de los procesos, programas o proyectos (según aplique) que están definidos, son específicos, medibles, alcanzables, relevantes, delimitados en el tiempo.</t>
  </si>
  <si>
    <t>Dimension de Gestion con Valores para Resultado
Politica de Fortalecimiento Organizacional y Simplificaciòn de Procesos</t>
  </si>
  <si>
    <t>6.3 La Alta Dirección evalúa periódicamente los objetivos establecidos para asegurar que estos continúan siendo consistentes y apropiados para la Entidad.</t>
  </si>
  <si>
    <t>Dimension de Direccionamiento Estratetegico y Planeacion.
Politica de Planeacion Institucional
Dimension Control Interno
Linea Estrategica</t>
  </si>
  <si>
    <r>
      <rPr>
        <b/>
        <u/>
        <sz val="11"/>
        <color theme="0"/>
        <rFont val="Arial Narrow"/>
        <family val="2"/>
      </rPr>
      <t xml:space="preserve">Lineamiento 7: 
</t>
    </r>
    <r>
      <rPr>
        <b/>
        <sz val="11"/>
        <color theme="0"/>
        <rFont val="Arial Narrow"/>
        <family val="2"/>
      </rPr>
      <t xml:space="preserve">Identificación y análisis de riesgos (Analiza factores internos y externos; Implica a los niveles apropiados de la dirección; Determina cómo responder a los riesgos; Determina la importancia de los riesgos). 
</t>
    </r>
  </si>
  <si>
    <t>7.1 Teniendo en cuenta la estructura de la política de Administración del Riesgo, su alcance define lineamientos para toda la entidad, incluyendo regionales, áreas tercerizadas u otras instancias que afectan la prestación del servicio.</t>
  </si>
  <si>
    <t>7.2 La Oficina de Planeación, Gerencia de Riesgos (donde existan), como 2a línea de defensa, consolidan información clave frente a la gestión del riesgo.</t>
  </si>
  <si>
    <t>Dimension Control Interno 
Lineas de Defensa</t>
  </si>
  <si>
    <t>7.3 A partir de la información consolidada y reportada por la 2a línea de defensa (7.2), la Alta Dirección analiza sus resultados y en especial considera si se han presentado materializaciones de riesgo.</t>
  </si>
  <si>
    <t>7.4 Cuando se detectan materializaciones de riesgo, se definen los cursos de acción en relación con la revisión y actualización del mapa de riesgos correspondiente.</t>
  </si>
  <si>
    <t>Dimension de Direccionamiento Estratetegico y Planeacion.
Politica de Planeacion Institucional
Dimension Control Interno 
Lineas de Defensa</t>
  </si>
  <si>
    <t>7.5 Se llevan a cabo seguimientos a las acciones definidas para resolver materializaciones de riesgo detectadas.</t>
  </si>
  <si>
    <t>Dimension de Evaluacion de Resultados 
Politica de Seguimiento y evaluacion al Desempeño Institucional.
Dimension Control Interno 
Lineas de Defensa</t>
  </si>
  <si>
    <r>
      <rPr>
        <b/>
        <u/>
        <sz val="11"/>
        <color theme="0"/>
        <rFont val="Arial Narrow"/>
        <family val="2"/>
      </rPr>
      <t xml:space="preserve">Lineamiento 8: 
</t>
    </r>
    <r>
      <rPr>
        <b/>
        <sz val="11"/>
        <color theme="0"/>
        <rFont val="Arial Narrow"/>
        <family val="2"/>
      </rPr>
      <t xml:space="preserve">Evaluación del riesgo de fraude o corrupción. 
Cumplimiento artículo 73 de la Ley 1474 de 2011, relacionado con la prevención de los riesgos de corrupción.
</t>
    </r>
  </si>
  <si>
    <t>8.1 La Alta Dirección acorde con el análisis del entorno interno y externo, define los procesos, programas o proyectos (según aplique), susceptibles de posibles actos de corrupción.</t>
  </si>
  <si>
    <t>8.2 La Alta Dirección monitorea los riesgos de corrupción con la periodicidad establecida en la Política de Administración del Riesgo.</t>
  </si>
  <si>
    <t>Dimension de Control Interno
Linea Estrategica</t>
  </si>
  <si>
    <t>8.3 Para el desarrollo de las actividades de control, la entidad considera la adecuada división de las funciones y que éstas se encuentren segregadas en diferentes personas para reducir el riesgo de acciones fraudulentas.</t>
  </si>
  <si>
    <t>Dimension de Contro Interno
Lineas de Defensa</t>
  </si>
  <si>
    <t>8.4 La Alta Dirección evalúa fallas en los controles (diseño y ejecución) para definir cursos de acción apropiados para su mejora.</t>
  </si>
  <si>
    <r>
      <rPr>
        <b/>
        <u/>
        <sz val="11"/>
        <color theme="0"/>
        <rFont val="Arial Narrow"/>
        <family val="2"/>
      </rPr>
      <t xml:space="preserve">
Lineamiento 9:</t>
    </r>
    <r>
      <rPr>
        <b/>
        <sz val="11"/>
        <color theme="0"/>
        <rFont val="Arial Narrow"/>
        <family val="2"/>
      </rPr>
      <t xml:space="preserve"> </t>
    </r>
    <r>
      <rPr>
        <sz val="11"/>
        <color theme="0"/>
        <rFont val="Arial Narrow"/>
        <family val="2"/>
      </rPr>
      <t xml:space="preserve">Identificación y análisis de cambios significativos </t>
    </r>
  </si>
  <si>
    <t>9.1 Acorde con lo establecido en la política de Administración del Riesgo, se monitorean los factores internos y externos definidos para la entidad, a fin de establecer cambios en el entorno que determinen nuevos riesgos o ajustes a los existentes.</t>
  </si>
  <si>
    <t>Dimension de Direccionamiento Estrategico 
Politica de Planeacion Institucional</t>
  </si>
  <si>
    <t>9.2 La Alta Dirección analiza los riesgos asociados a actividades tercerizadas, regionales u otras figuras externas que afecten la prestación del servicio a los usuarios, basados en los informes de la segunda y tercera linea de defensa.</t>
  </si>
  <si>
    <t>Dimension de Control Interno
Lineas de Defensa</t>
  </si>
  <si>
    <t>9.3 La Alta Dirección monitorea los riesgos aceptados revisando que sus condiciones no hayan cambiado y definir su pertinencia para sostenerlos o ajustarlos.</t>
  </si>
  <si>
    <t>9.4 La Alta Dirección evalúa fallas en los controles (diseño y ejecución) para definir cursos de acción apropiados para su mejora, basados en los informes de la segunda y tercera linea de defensa.</t>
  </si>
  <si>
    <t>9.5 La entidad analiza el impacto sobre el control interno por cambios en los diferentes niveles organizacionales.</t>
  </si>
  <si>
    <t>Dimension de Direccionamiento Estrategico y Planeacion
Politica de Planeacion Institucional
Dimension de Control Interno
Linea Estrategica</t>
  </si>
  <si>
    <t>ACTIVIDADES DE CONTROL</t>
  </si>
  <si>
    <t>La entidad define y desarrolla actividades de control que contribuyen a la mitigación de los riesgos hasta niveles aceptables para la consecución de los objetivos estratégicos y de proceso. 
Implementa políticas de operación mediante procedimientos u otros mecanismos que den cuenta de su aplicación en el día a día de las operaciones.</t>
  </si>
  <si>
    <r>
      <rPr>
        <b/>
        <u/>
        <sz val="11"/>
        <color theme="0"/>
        <rFont val="Arial Narrow"/>
        <family val="2"/>
      </rPr>
      <t xml:space="preserve">
Lineamiento 10: 
</t>
    </r>
    <r>
      <rPr>
        <b/>
        <sz val="11"/>
        <color theme="0"/>
        <rFont val="Arial Narrow"/>
        <family val="2"/>
      </rPr>
      <t>Diseño y desarrollo de actividades de control (Integra el desarrollo de controles con la evaluación de riesgos; tiene en cuenta a qué nivel se aplican las actividades; facilita la segregación de funciones).</t>
    </r>
  </si>
  <si>
    <r>
      <t>Explicación de cómo la Entidad</t>
    </r>
    <r>
      <rPr>
        <b/>
        <u/>
        <sz val="11"/>
        <color theme="0"/>
        <rFont val="Arial Narrow"/>
        <family val="2"/>
      </rPr>
      <t xml:space="preserve"> evidencia </t>
    </r>
    <r>
      <rPr>
        <b/>
        <sz val="11"/>
        <color theme="0"/>
        <rFont val="Arial Narrow"/>
        <family val="2"/>
      </rPr>
      <t xml:space="preserve">que está dando respuesta al requerimiento
</t>
    </r>
    <r>
      <rPr>
        <sz val="11"/>
        <color theme="0"/>
        <rFont val="Arial Narrow"/>
        <family val="2"/>
      </rPr>
      <t>Referencia a Procesos, Manuales/Políticas de Operación/Procedimientos/Instructivos u otros desarrollos que den cuente de su aplicación</t>
    </r>
  </si>
  <si>
    <r>
      <t>Funcionando</t>
    </r>
    <r>
      <rPr>
        <i/>
        <sz val="11"/>
        <color theme="0"/>
        <rFont val="Arial Narrow"/>
        <family val="2"/>
      </rPr>
      <t xml:space="preserve">
(1/2/3)</t>
    </r>
  </si>
  <si>
    <t>10.1 Para el desarrollo de las actividades de control, la entidad considera la adecuada división de las funciones y que éstas se encuentren segregadas en diferentes personas para reducir el riesgo de error o de incumplimientos de alto impacto en la operación.</t>
  </si>
  <si>
    <t xml:space="preserve">10.2 Se han idenfificado y documentado las situaciones específicas en donde no es posible segregar adecuadamente las funciones (ej: falta de personal, presupuesto), con el fin de definir actividades de control alternativas para cubrir los riesgos identificados. </t>
  </si>
  <si>
    <t>10.3 El diseño de otros  sistemas de gestión (bajo normas o estándares internacionales como la ISO), se intregan de forma adecuada a la estructura de control de la entidad.</t>
  </si>
  <si>
    <t xml:space="preserve">
Dimension de Gestion con Valores para Resultados
Dimension de Control Interno
Lineas de Defensa</t>
  </si>
  <si>
    <r>
      <rPr>
        <b/>
        <u/>
        <sz val="11"/>
        <color theme="0"/>
        <rFont val="Arial Narrow"/>
        <family val="2"/>
      </rPr>
      <t xml:space="preserve">Lineamiento 11: 
</t>
    </r>
    <r>
      <rPr>
        <b/>
        <sz val="11"/>
        <color theme="0"/>
        <rFont val="Arial Narrow"/>
        <family val="2"/>
      </rPr>
      <t>Seleccionar y Desarrolla controles generales sobre TI para apoyar la consecución de los objetivos .</t>
    </r>
  </si>
  <si>
    <t>11.1 La entidad establece actividades de control relevantes sobre las infraestructuras tecnológicas; los procesos de gestión de la seguridad y sobre los procesos de adquisición, desarrollo y mantenimiento de tecnologías.</t>
  </si>
  <si>
    <t xml:space="preserve">Dimension de Gestion con Valores para el Resultado
Politica de Gobierno Digital 
Politica de Seguridad Digital
</t>
  </si>
  <si>
    <t>11.2  Para los proveedores de tecnología  selecciona y desarrolla actividades de control internas sobre las actividades realizadas por el proveedor de servicios.</t>
  </si>
  <si>
    <t xml:space="preserve">11.3 Se cuenta con matrices de roles y usuarios siguiendo los principios de segregación de funciones.
</t>
  </si>
  <si>
    <t xml:space="preserve">Dimension de Gestion con Valores para el Resultado
Politica de Fortalecimiento Organizacional y Simplificacion de Procesos.
</t>
  </si>
  <si>
    <t xml:space="preserve">11.4 Se cuenta con información de la 3a línea de defensa, como evaluador independiente en relación con los controles implementados por el proveedor de servicios, para  asegurar que los riesgos relacionados se mitigan.
</t>
  </si>
  <si>
    <t>Dimension Control Interno
Tercera Linea de Defensa</t>
  </si>
  <si>
    <r>
      <rPr>
        <b/>
        <u/>
        <sz val="11"/>
        <color theme="0"/>
        <rFont val="Arial Narrow"/>
        <family val="2"/>
      </rPr>
      <t xml:space="preserve">Lineamiento 12: 
</t>
    </r>
    <r>
      <rPr>
        <b/>
        <sz val="11"/>
        <color theme="0"/>
        <rFont val="Arial Narrow"/>
        <family val="2"/>
      </rPr>
      <t>Despliegue de políticas y procedimientos (Establece responsabilidades sobre la ejecución de las políticas y procedimientos; Adopta medidas correctivas; Revisa las políticas y procedimientos).</t>
    </r>
  </si>
  <si>
    <t xml:space="preserve">12.1 Se evalúa la actualización de procesos, procedimientos, políticas de operación, instructivos, manuales u otras herramientas para garantizar la aplicación adecuada de las principales actividades de control.
</t>
  </si>
  <si>
    <t>Dimension de Gestion con Valores para el Resultado
Politica de Fortalecimiento Organizacional y Simplificacion de Procesos.</t>
  </si>
  <si>
    <t>12.2  El diseño de controles se evalúa frente a la gestión del riesgo.</t>
  </si>
  <si>
    <t xml:space="preserve">Todas las Dimensiones de MIPG 
</t>
  </si>
  <si>
    <t xml:space="preserve">12.3  Monitoreo a los riesgos acorde con la política de administración de riesgo establecida para la entidad.
</t>
  </si>
  <si>
    <t>Dimension de Direccionamiento Estrategico y Planeacion
Politica de Planeacion Institucional.</t>
  </si>
  <si>
    <t>12.4 Verificación de que los responsables estén ejecutando los controles tal como han sido diseñados.</t>
  </si>
  <si>
    <t>Dimension Control Interno
Segunda Linea de Defensa</t>
  </si>
  <si>
    <t>12.5  Se evalúa la adecuación de los controles a las especificidades de cada proceso, considerando cambios en regulaciones, estructuras internas u otros aspectos que determinen cambios en su diseño.</t>
  </si>
  <si>
    <t>Dimension Control Interno
 Lineas de Defensa</t>
  </si>
  <si>
    <t>INFORMACIÓN Y COMUNICACIÓN</t>
  </si>
  <si>
    <t>Este componente verifica que las políticas, directrices y mecanismos de consecución, captura, procesamiento y generación de datos dentro y en el entorno de cada entidad, satisfagan la necesidad de divulgar los resultados, de mostrar mejoras en la gestión administrativa y procurar que la información y la comunicación de la entidad y de cada proceso sea adecuada a las necesidades específicas de los grupos de valor y grupos de interés. 
Se requiere que todos los servidores de la entidad reciban un claro mensaje de la Alta Dirección sobre las responsabilidades de control. Deben comprender su función frente al Sistema de Control Interno.</t>
  </si>
  <si>
    <r>
      <t xml:space="preserve">
Lineamiento 13: 
</t>
    </r>
    <r>
      <rPr>
        <b/>
        <sz val="11"/>
        <color theme="0"/>
        <rFont val="Arial Narrow"/>
        <family val="2"/>
      </rPr>
      <t>Utilización de información relevante (Identifica requisitos de información; Capta fuentes de datos internas y externas; Procesa datos relevantes y los transforma en información).</t>
    </r>
  </si>
  <si>
    <t>13.1 La entidad ha diseñado sistemas de información para capturar y procesar datos y transformarlos en información para alcanzar los requerimientos de información definidos.</t>
  </si>
  <si>
    <t xml:space="preserve">Dimension de Informacion y comunicación 
</t>
  </si>
  <si>
    <t>13.2  La entidad cuenta con el inventario de información relevante (interno/externa) y cuenta con un mecanismo que permita su actualización.</t>
  </si>
  <si>
    <t>Dimension de Informacion y comunicación 
Politica de Transparencia y Acceso a la Informaciòn Publica</t>
  </si>
  <si>
    <t>13.3 La entidad considera un ámbito amplio de fuentes de datos (internas y externas), para la captura y procesamiento posterior de información clave para la consecución de metas y objetivos.</t>
  </si>
  <si>
    <t>13.4 La entidad ha desarrollado e implementado actividades de control sobre la integridad, confidencialidad y disponibilidad de los datos e información definidos como relevantes.</t>
  </si>
  <si>
    <r>
      <t xml:space="preserve">
Lineamiento 14: 
</t>
    </r>
    <r>
      <rPr>
        <b/>
        <sz val="11"/>
        <color theme="0"/>
        <rFont val="Arial Narrow"/>
        <family val="2"/>
      </rPr>
      <t>Comunicación Interna (Se comunica con el Comité Institucional de Coordinación de Control Interno o su equivalente; Facilita líneas de comunicación en todos los niveles; Selecciona el método de comunicación pertinente).</t>
    </r>
  </si>
  <si>
    <t>14.1 Para la comunicación interna la Alta Dirección tiene mecanismos que permitan dar a conocer los objetivos y metas estratégicas, de manera tal que todo el personal entiende su papel en su consecución. (Considera los canales más apropiados y evalúa su efectividad).</t>
  </si>
  <si>
    <t xml:space="preserve">Dimension de Informacion y comunicación
</t>
  </si>
  <si>
    <t>14.2 La entidad cuenta con políticas de operación relacionadas con la administración de la información (niveles de autoridad y responsabilidad)</t>
  </si>
  <si>
    <t>14.3 La entidad cuenta con canales de información internos para la denuncia anónima o confidencial de posibles situaciones irregulares y se cuenta con mecanismos específicos para su manejo, de manera tal que generen la confianza para utilizarlos.</t>
  </si>
  <si>
    <t>14.4 La entidad establece e implementa políticas y procedimientos para facilitar una comunicación interna efectiva.</t>
  </si>
  <si>
    <r>
      <t xml:space="preserve">
Lineamiento 15: 
</t>
    </r>
    <r>
      <rPr>
        <b/>
        <sz val="11"/>
        <color theme="0"/>
        <rFont val="Arial Narrow"/>
        <family val="2"/>
      </rPr>
      <t>Comunicación con el exterior (Se comunica con los grupos de valor y con terceros externos interesados; Facilita líneas de comunicación).</t>
    </r>
  </si>
  <si>
    <t xml:space="preserve">15.1 La entidad desarrolla e implementa controles que facilitan la comunicación externa, la cual incluye  políticas y procedimientos. 
Incluye contratistas y proveedores de servicios tercerizados (cuando aplique). </t>
  </si>
  <si>
    <t xml:space="preserve">
Dimension de Informacion y Comunicación
Dimension de Control Interno
Primera Linea de Defensa</t>
  </si>
  <si>
    <t xml:space="preserve">15.2 La entidad cuenta con canales externos definidos de comunicación, asociados con el tipo de información a divulgar, y éstos son reconocidos a todo nivel de la organización.
</t>
  </si>
  <si>
    <t xml:space="preserve">Dimension de Informacion y Comunicación
Politica de Transparencia, acceso a la información pública y lucha
contra la corrupción </t>
  </si>
  <si>
    <t>15.3 La entidad cuenta con procesos o procedimiento para el manejo de la información entrante (quién la recibe, quién la clasifica, quién la analiza), y a la respuesta requierida (quién la canaliza y la responde).</t>
  </si>
  <si>
    <t xml:space="preserve">Dimension de Informacion y Comunicación
Politica de Gestion Documental
Politica de Transparencia, acceso a la información pública y lucha
contra la corrupción </t>
  </si>
  <si>
    <t xml:space="preserve">15.4 La entidad cuenta con procesos o procedimientos encaminados a evaluar periodicamente la efectividad de los canales de comunicación con partes externas, así como sus contenidos, de tal forma que se puedan mejorar.
</t>
  </si>
  <si>
    <t>Dimension de Informacion y Comunicación
Politica deControl Interno
Lineas de Defensa</t>
  </si>
  <si>
    <t>15.5 La entidad analiza periodicamente su caracterización de usuarios o grupos de valor, a fin de actualizarla cuando sea pertinente.</t>
  </si>
  <si>
    <t>Dimension de Direccionamiento Estrategico y Planeaciòn
Politica de Planeacion Institucional</t>
  </si>
  <si>
    <t>15.6 La entidad analiza periodicamente los resultados frente a la evaluación de percepción por parte de los usuarios o grupos de valor para la incorporación de las mejoras correspondientes.</t>
  </si>
  <si>
    <t>ACTIVIDADES DE MONITOREO</t>
  </si>
  <si>
    <t>Este componente considera actividades en el día a día de la gestión institucional, así como a través de evaluaciones periódicas (autoevaluación, auditorías). Su propósito es valorar: (i) la efectividad del control interno de la entidad pública; (ii) la eficiencia, eficacia y efectividad de los procesos; (iii) el nivel de ejecución de los planes, programas y proyectos; (iv) los resultados de la gestión, con el propósito de detectar desviaciones, establecer tendencias, y generar recomendaciones para orientar las acciones de mejoramiento de la entidad pública.</t>
  </si>
  <si>
    <r>
      <rPr>
        <b/>
        <u/>
        <sz val="11"/>
        <color theme="0"/>
        <rFont val="Arial Narrow"/>
        <family val="2"/>
      </rPr>
      <t xml:space="preserve">Lineamiento 16. </t>
    </r>
    <r>
      <rPr>
        <sz val="11"/>
        <color theme="0"/>
        <rFont val="Arial Narrow"/>
        <family val="2"/>
      </rPr>
      <t xml:space="preserve"> Evaluaciones continuas y/o separadas (autoevaluación, auditorías) para determinar si los componentes del Sistema de Control Interno están presentes y funcionando.
</t>
    </r>
  </si>
  <si>
    <t>16.1 El comité Institucional de Coordinación de Control Interno aprueba anualmente el Plan Anual de Auditoría presentado por parte del Jefe de Control Interno o quien haga sus veces y hace el correspondiente seguimiento a sus ejecución?</t>
  </si>
  <si>
    <t>Dimension de Control Interno
Lineas Estrategica</t>
  </si>
  <si>
    <t>16.2  La Alta Dirección periódicamente evalúa los resultados de las evaluaciones (contínuas e independientes)  para concluir acerca de la efectividad del Sistema de Control Interno</t>
  </si>
  <si>
    <t>16.3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t>
  </si>
  <si>
    <t>Dimension de Control Interno
Tercera Linea de Defensa</t>
  </si>
  <si>
    <t>16.4 Acorde con el Esquema de Líneas de Defensa se han implementado procedimientos de monitoreo continuo como parte de las actividades de la 2a línea de defensa, a fin de contar con información clave para la toma de decisiones.</t>
  </si>
  <si>
    <t>Dimension de Control Interno
Segunda Linea de Defensa</t>
  </si>
  <si>
    <t>16.5 Frente a las evaluaciones independientes la entidad considera evaluaciones externas de organismos de control, de vigilancia, certificadores, ONG´s u otros que permitan tener una mirada independiente de las operaciones.</t>
  </si>
  <si>
    <r>
      <rPr>
        <b/>
        <u/>
        <sz val="11"/>
        <color theme="0"/>
        <rFont val="Arial Narrow"/>
        <family val="2"/>
      </rPr>
      <t xml:space="preserve">Lineamiento 17. </t>
    </r>
    <r>
      <rPr>
        <sz val="11"/>
        <color theme="0"/>
        <rFont val="Arial Narrow"/>
        <family val="2"/>
      </rPr>
      <t xml:space="preserve"> 
Evaluación y comunicación de deficiencias oportunamente (Evalúa los resultados, Comunica las deficiencias y Monitorea las medidas correctivas).
</t>
    </r>
  </si>
  <si>
    <t>17.1 A partir de la información de las evaluaciones independientes, se evalúan para determinar su efecto en el Sistema de Control Interno de la entidad y su impacto en el logro de los objetivos, a fin de determinar cursos de acción para su mejora.</t>
  </si>
  <si>
    <t>17.2 Los informes recibidos de entes externos (organismos de control, auditores externos, entidades de vigilancia entre otros) se consolidan y se concluye sobre el impacto en el Sistema de Control Interno, a fin de determinar los cursos de acción.</t>
  </si>
  <si>
    <t>17.3 La entidad cuenta con políticas donde se establezca a quién reportar las deficiencias de control interno como resultado del monitoreo continuo.</t>
  </si>
  <si>
    <t>17.4 La Alta Dirección hace seguimiento a las acciones correctivas relacionadas con las deficiencias comunicadas sobre el Sistema de Control Interno y si se han cumplido en el tiempo establecido.</t>
  </si>
  <si>
    <t>17.5 Los procesos y/o servicios tercerizados, son evaluados acorde con su nivel de riesgos.</t>
  </si>
  <si>
    <t>17.6 Se evalúa la información suministrada por los usuarios (Sistema PQRD), así como de otras partes interesadas para la mejora del  Sistema de Control Interno de la Entidad?</t>
  </si>
  <si>
    <t xml:space="preserve">
Dimension de Informacion y Comunicación 
Dimension de Control Interno
Lineas de Defensa</t>
  </si>
  <si>
    <t xml:space="preserve">17.7 Verificación del avance y cumplimiento de las acciones incluidas en los planes de mejoramiento producto de las autoevaluaciones. (2ª Línea).
</t>
  </si>
  <si>
    <t xml:space="preserve">
Dimension de Control Interno
Lineas de Defensa</t>
  </si>
  <si>
    <t>17.8 Evaluación de la efectividad de las acciones incluidas en los Planes de mejoramiento producto de las auditorías internas y de entes externos. (3ª Línea)</t>
  </si>
  <si>
    <t>17.9 Las deficiencias de control interno son reportadas a los responsables de nivel jerárquico superior, para tomar la acciones correspondientes?</t>
  </si>
  <si>
    <t>ANÁLISIS DE RESULTADOS PARA LA TOMA DE DECISIONES</t>
  </si>
  <si>
    <t xml:space="preserve">Se encuentra presente  y funcionando, pero requiere mejoras frente a su diseño, ya que  opera de manera efectiva
</t>
  </si>
  <si>
    <t>Se encuentra presente  y funcionando, pero requiere mejoras frente a su diseño, ya que  opera de manera efectiva</t>
  </si>
  <si>
    <t>Cuando en el análisis de los requerimientos en los diferentes componentes del MECI se cuente con aspectos evaluados en nivel 2 (presente) y 2 (funcionando); 3 (presente) y 1 (funcionando); 3 (presente) y 2 (funcionando);2 (presente) y 1 (funcionando)</t>
  </si>
  <si>
    <t>Cuando en el análisis de los requerimientos en los diferentes componentes del MECI se cuente con aspectos evaluados en nivel 1 (presente) y 1 (funcionando); ;1 (presente) y 2 (funcionando); 1(presente) y 3 (funcionando).</t>
  </si>
  <si>
    <t>Registro de deficiencias</t>
  </si>
  <si>
    <t>RESULTADOS</t>
  </si>
  <si>
    <t>FUENTE DEL ANALISIS</t>
  </si>
  <si>
    <t>CONTROL PRESENTE</t>
  </si>
  <si>
    <t>CONTROL FUNCIONANDO</t>
  </si>
  <si>
    <t>OBSERVACIONES DEL CONTROL</t>
  </si>
  <si>
    <t>NIVEL DE CUMPLIMIENTO-ASPECTOS PARTICULARES POR COMPONENTE</t>
  </si>
  <si>
    <t>NIVEL DE CUMPLIMIENTO- DEL COMPONENTE</t>
  </si>
  <si>
    <t>RECOMENDACIONES DESDE LA MIRADA DE EVALUACION INDEPENDIENTE</t>
  </si>
  <si>
    <t>PLANES DE MEJORAMIENTO (Donde aplique)</t>
  </si>
  <si>
    <t>Id. Requerimiento</t>
  </si>
  <si>
    <t>Descripción del Lineamiento</t>
  </si>
  <si>
    <t>Pregunta Indicativa</t>
  </si>
  <si>
    <t>Accion(es) de Mejora</t>
  </si>
  <si>
    <t>Fecha de Inicio</t>
  </si>
  <si>
    <t>Fecha Terminacion</t>
  </si>
  <si>
    <t>Responsable</t>
  </si>
  <si>
    <t>Seguimiento</t>
  </si>
  <si>
    <t>% de avance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</si>
  <si>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</si>
  <si>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</si>
  <si>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</si>
  <si>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</si>
  <si>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</si>
  <si>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</si>
  <si>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</si>
  <si>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Si</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</si>
  <si>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</si>
  <si>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</si>
  <si>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</si>
  <si>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</si>
  <si>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</si>
  <si>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</si>
  <si>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Evaluación de riesgos</t>
  </si>
  <si>
    <t>Actividades de control</t>
  </si>
  <si>
    <t>Información y comunicación</t>
  </si>
  <si>
    <t xml:space="preserve">Monitoreo </t>
  </si>
  <si>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</si>
  <si>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</si>
  <si>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</si>
  <si>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</si>
  <si>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</si>
  <si>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</si>
  <si>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</si>
  <si>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</si>
  <si>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</si>
  <si>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1.1</t>
  </si>
  <si>
    <t>Ambiente de Control</t>
  </si>
  <si>
    <t>La entidad demuestra el compromiso con la integridad (valores) y principios del servicio público</t>
  </si>
  <si>
    <t>Cuando en el análisis de los requerimientos en los diferenes componentes del MECI se cuente con aspectos evaluados en nivel 2 (presente) y 3 (funcionando).</t>
  </si>
  <si>
    <t>1.2</t>
  </si>
  <si>
    <t>Cuando en el análisis de los requerimientos en los diferenes componentes del MECI se cuente con aspectos evaluados en nivel 2 (presente) y 2 (funcionando); 3 (presente) y 1 (funcionando); 3 (presente) y 2 (funcionando).</t>
  </si>
  <si>
    <t>Deficiencia de control mayor</t>
  </si>
  <si>
    <t>1.3</t>
  </si>
  <si>
    <t>Cuando en el análisis de los requerimientos en los diferenes componentes del MECI se cuente con aspectos evaluados en nivel 1 (presente) y 1 (funcionando); 2 (presente) y 1 (funcionando).</t>
  </si>
  <si>
    <t>1.4</t>
  </si>
  <si>
    <t>1.5</t>
  </si>
  <si>
    <t>2.1</t>
  </si>
  <si>
    <t xml:space="preserve">Aplicación de mecanismos para ejercer una adecuada supervisión del Sistema de Control Interno </t>
  </si>
  <si>
    <t>2.2</t>
  </si>
  <si>
    <t>2.3</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</si>
  <si>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</si>
  <si>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</si>
  <si>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3.3</t>
  </si>
  <si>
    <t>3.2</t>
  </si>
  <si>
    <t>4.1</t>
  </si>
  <si>
    <t>Compromiso con la competencia de todo el personal, por lo que la gestión del talento humano tiene un carácter estratégico con el despliegue de actividades clave para todo el ciclo de vida del servidor público –ingreso, permanencia y retiro.</t>
  </si>
  <si>
    <t>4.2</t>
  </si>
  <si>
    <t>4.3</t>
  </si>
  <si>
    <t>4.4</t>
  </si>
  <si>
    <t>4.5</t>
  </si>
  <si>
    <t>4.6</t>
  </si>
  <si>
    <t>4.7</t>
  </si>
  <si>
    <t>5.1</t>
  </si>
  <si>
    <t>La entidad establece líneas de reporte dentro de la entidad para evaluar el funcionamiento del Sistema de Control Interno.</t>
  </si>
  <si>
    <t>5.2</t>
  </si>
  <si>
    <t>5.3</t>
  </si>
  <si>
    <t>5.4</t>
  </si>
  <si>
    <t>5.5</t>
  </si>
  <si>
    <t>5.6</t>
  </si>
  <si>
    <t>6.1</t>
  </si>
  <si>
    <t xml:space="preserve">Definición de objetivos con suficiente claridad para identificar y evaluar los riesgos relacionados: i)Estratégicos; ii)Operativos; iii)Legales y Presupuestales; iv)De Información Financiera y no Financiera.
</t>
  </si>
  <si>
    <t>6.2</t>
  </si>
  <si>
    <t>6.3</t>
  </si>
  <si>
    <t>7.1</t>
  </si>
  <si>
    <t xml:space="preserve">Identificación y análisis de riesgos (Analiza factores internos y externos; Implica a los niveles apropiados de la dirección; Determina cómo responder a los riesgos; Determina la importancia de los riesgos). </t>
  </si>
  <si>
    <t>7.2</t>
  </si>
  <si>
    <t>7.3</t>
  </si>
  <si>
    <t>7.4</t>
  </si>
  <si>
    <t>7.5</t>
  </si>
  <si>
    <t>8.1</t>
  </si>
  <si>
    <t xml:space="preserve">Evaluación del riesgo de fraude o corrupción. 
Cumplimiento artículo 73 de la Ley 1474 de 2011, relacionado con la prevención de los riesgos de corrupción.
</t>
  </si>
  <si>
    <t>8.2</t>
  </si>
  <si>
    <t>8.3</t>
  </si>
  <si>
    <t>8.4</t>
  </si>
  <si>
    <t>9.1</t>
  </si>
  <si>
    <t xml:space="preserve">Identificación y análisis de cambios significativos </t>
  </si>
  <si>
    <t>9.2</t>
  </si>
  <si>
    <t>9.3</t>
  </si>
  <si>
    <t>9.4</t>
  </si>
  <si>
    <t>9.5</t>
  </si>
  <si>
    <t>10.1</t>
  </si>
  <si>
    <t>Diseño y desarrollo de actividades de control (Integra el desarrollo de controles con la evaluación de riesgos; tiene en cuenta a qué nivel se aplican las actividades; facilita la segregación de funciones).</t>
  </si>
  <si>
    <t>10.2</t>
  </si>
  <si>
    <t>10.3</t>
  </si>
  <si>
    <t>11.1</t>
  </si>
  <si>
    <t>Seleccionar y Desarrolla controles generales sobre TI para apoyar la consecución de los objetivos .</t>
  </si>
  <si>
    <t>11.2</t>
  </si>
  <si>
    <t>11.3</t>
  </si>
  <si>
    <t>11.4</t>
  </si>
  <si>
    <t>12.1</t>
  </si>
  <si>
    <t>Despliegue de políticas y procedimientos (Establece responsabilidades sobre la ejecución de las políticas y procedimientos; Adopta medidas correctivas; Revisa las políticas y procedimientos).</t>
  </si>
  <si>
    <t>12.2</t>
  </si>
  <si>
    <t>12.3</t>
  </si>
  <si>
    <t>12.4</t>
  </si>
  <si>
    <t>12.5</t>
  </si>
  <si>
    <t>13.1</t>
  </si>
  <si>
    <t>Info y Comunicación</t>
  </si>
  <si>
    <t>Utilización de información relevante (Identifica requisitos de información; Capta fuentes de datos internas y externas; Procesa datos relevantes y los transforma en información).</t>
  </si>
  <si>
    <t>13.2</t>
  </si>
  <si>
    <t>13.3</t>
  </si>
  <si>
    <t>13.4</t>
  </si>
  <si>
    <t>14.1</t>
  </si>
  <si>
    <t>Comunicación Interna (Se comunica con el Comité Institucional de Coordinación de Control Interno o su equivalente; Facilita líneas de comunicación en todos los niveles; Selecciona el método de comunicación pertinente).</t>
  </si>
  <si>
    <t>14.2</t>
  </si>
  <si>
    <t>14.3</t>
  </si>
  <si>
    <t>14.4</t>
  </si>
  <si>
    <t>15.1</t>
  </si>
  <si>
    <t>Comunicación con el exterior (Se comunica con los grupos de valor y con terceros externos interesados; Facilita líneas de comunicación).</t>
  </si>
  <si>
    <t>15.2</t>
  </si>
  <si>
    <t>15.3</t>
  </si>
  <si>
    <t>15.4</t>
  </si>
  <si>
    <t>15.5</t>
  </si>
  <si>
    <t>15.6</t>
  </si>
  <si>
    <t>16.1</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</si>
  <si>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</si>
  <si>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</si>
  <si>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16.2</t>
  </si>
  <si>
    <t>16.3</t>
  </si>
  <si>
    <t>16.4</t>
  </si>
  <si>
    <t>16.5</t>
  </si>
  <si>
    <t xml:space="preserve">17.1 </t>
  </si>
  <si>
    <t>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</si>
  <si>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</si>
  <si>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</si>
  <si>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</si>
  <si>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</si>
  <si>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</si>
  <si>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</si>
  <si>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</si>
  <si>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</si>
  <si>
    <t>Seguimiento y monitoreo a la gestión del riesgo</t>
  </si>
  <si>
    <t>Cumplimiento y seguimiento desde el area responsable</t>
  </si>
  <si>
    <t>Implementación de la estrategia del fomento de la Cultura del Autoconttrol.</t>
  </si>
  <si>
    <t>Verificación en Auditorias de Control Interno</t>
  </si>
  <si>
    <t>Seguimiento y evaluación al cumplimiento de los planes Institucionales</t>
  </si>
  <si>
    <t>Cada dependencia desde el desarrollo de sus funciones es responsable de la administración del riesgo y desde control interno se efectua un acompañamiento y seguimiento al mismo.</t>
  </si>
  <si>
    <t>Acompañamiento y seguimiento a cada dependencia</t>
  </si>
  <si>
    <t>Acompañamiento, asesoria y seguimiento.</t>
  </si>
  <si>
    <t>Se evalua a través de los autodiagnósticos y los planes de mejora y de acuerdo al requerimiento normativo.</t>
  </si>
  <si>
    <t>Cumplimiento a los planes de mejoramiento</t>
  </si>
  <si>
    <t>El Comité Institucional de Control Interno esta  disponible como escenario para evaluar y tomar decisiones frente a resultados de planes de mejoramiento.</t>
  </si>
  <si>
    <t>Acompañamiento y seguimiento</t>
  </si>
  <si>
    <t>Verificación de cumplimiento</t>
  </si>
  <si>
    <t>Verificación de la disposición de los canales de atención.</t>
  </si>
  <si>
    <t>Verificación al cumplimiento.</t>
  </si>
  <si>
    <t>Verificación desde la dependencia responsable.</t>
  </si>
  <si>
    <t>Trabajo articulado con las diferentes dependencias de la entidad.</t>
  </si>
  <si>
    <t xml:space="preserve">Socialización del seguimiento a la administración del riesgo. </t>
  </si>
  <si>
    <t>Dentro de la Política de Administración de Riesgos y los mapas de riesgos de la entidad se definen responsables dentro de su identificación, ocurrencia y mitigación.</t>
  </si>
  <si>
    <t>El Comité de Coordinación de Control Interno es un escenario para evaluar y tomar decisiones frente a este tipo de situaciones.</t>
  </si>
  <si>
    <t>Cada uno de los informes elaborados por parte de la Oficina de Control Interno son socializados y presentados al area correspondiente para su analisis y aplicación de acciones de mejoramiento en caso de identificarse hallazgos en el mismo, para mejora continua de los procesos de la entidad.</t>
  </si>
  <si>
    <t>Los Objetivos definidos dentro del Plan Estrategico, estan definidos, son alcanzables, relevantes delimitados en tiempo y son medibles, con el fin de efectuar un correcto seguimiento y cumplimiento.</t>
  </si>
  <si>
    <t xml:space="preserve"> Dentro del periodo evaluado no se presentó materialización del riesgo, sin embargo; en caso de presentarse se actuará conforme a las acciones y manejo plasmados en los mapas de riesgos de la entidad.</t>
  </si>
  <si>
    <t>Evaluación dentro del escenario del CCCI</t>
  </si>
  <si>
    <t>Cada dependencia desde el desarrollo de sus funciones es responsable de la administración del riesgo y desde Control Interno se efectua un acompañamiento y seguimiento al mismo.</t>
  </si>
  <si>
    <t>Auditorias Internas Integradas
Seguimientos mensuales a los procesos.</t>
  </si>
  <si>
    <t>La entidad tiene establecidos controles e indicadores para todos los riesgos identificados en cada uno de los procesos.</t>
  </si>
  <si>
    <t>La entidad realiza monitoreo a los riesgos de acuerdo con la Política de Administración creada para tal fin.</t>
  </si>
  <si>
    <t>Se realiza monitoreo a los riesgos de acuerdo a la política de administración creada para tal fin.</t>
  </si>
  <si>
    <t>La entidad cuenta con el procedimiento F07. Gestión de Registro y Archivos, para el manejo de información entrante a través de Atención al ciudadano y la Politica de Gestión Documental.</t>
  </si>
  <si>
    <t>Una vez recibidos los informes de los entes externos se elabora Planes de Mejoramiento o Acciones Correctivas suscritos por los responsables; y la Oficina de Control Interno realiza los seguimientos.</t>
  </si>
  <si>
    <t>Planes de Mejoramiento, Acciones Correctivas y de Mejora.</t>
  </si>
  <si>
    <t>La Alta Dirección realiza seguimiento a las acciones correctivas relacionadas con las deficiencias del sistema de control interno.</t>
  </si>
  <si>
    <t>Seguimiento desde el CCCI</t>
  </si>
  <si>
    <t>Desde la Oficina de Control Interno se realiza acompañamiento y verificación de cumplimiento a planes de mejoramiento de las dependencias.</t>
  </si>
  <si>
    <t>Cuando se realizan seguimientos a los procesos y se encuentran hallazgos o no conformidades, son reportadas de manera inmediata a los responsables de los procesos para iniciar la acción de mejora correspondiente.</t>
  </si>
  <si>
    <t>La Oficina de Control Interno realiza de manera semestral los seguimientos a la Politica de la Administración del Riesgo y al Plan Anticorrupción y de Atencion al Ciudadano como lo establece la normatividad para tal fin.</t>
  </si>
  <si>
    <t xml:space="preserve">Actualización  de los Mapas de Riesgos de la Contraloria vigencia 2024  </t>
  </si>
  <si>
    <t>La entidad tiene implementado el Modelo Estándar de Control Interno</t>
  </si>
  <si>
    <t>La Agencia Nacional Digital – AND mediante la adopción, divulgación y aplicación permanente de su Código de Integridad. La entidad promueve la cultura de integridad, el respeto y la convivencia laboral, previene y analiza posibles desviaciones éticas, y gestiona las quejas, denuncias y situaciones disciplinarias a través de los canales institucionales y conforme a la normatividad vigente, garantizando el debido proceso. se encuentra publicado en página web de la Entidad. https://and.gov.co/sites/default/files/2022-09/codigo_de_integridad_and.pdf</t>
  </si>
  <si>
    <t xml:space="preserve">la Agencia Nacional Digital cuenta con mecanismos formales para la gestión de los conflictos de interés, los cuales se encuentran definidos en lineamientos y procedimientos internos. La entidad dispone de una guía específica Versión: 1  TH.GU.01 , formatos de declaración de conlicto de interés (TH.FT.23 ),  Formato declaración de no conlicto de intereses y no inhabilidad /incompatibilidad (TH-FT.24); formato manifestación de no interpes particular ni directo (TH-FT.25) y el procedimiento TH.PR.08 Procedimiento para el manejo, declaración y gestión de conlictos de ointereses V1, </t>
  </si>
  <si>
    <t>La Agencia Nacional Digital dentro del proceso segurdiad y privacidad de la información cuenta con el manual de políticas de seguridad digital y de privacidad, y la política general del modelo de seguridad y privacidad de la información, Guia de identificación y clasificación de activos de seguridad digital y de la información.  Respecto a la Política de Gestión Documenta cuenta con:  Programa de Gestión Documental   PINAR, Tablas de Retención  Documental, y se cuenta con formato de declaración de conflictos de interés (TH FT 23)  y Formato TH.FT.24
Declaración de no conflicto de interés</t>
  </si>
  <si>
    <t>Mediante campañas de socialización se socializa el tema de integridad</t>
  </si>
  <si>
    <t>El manejo de conflictos de intereses se encuentra establecido en el proceso de talento humano, además de la sociliazación de la publicación y divulgación proactiva de la Declaración de Bienes y Rentas,
Registro de Conflicto de Interés y Declaración del Impuesto sobre la Renta y Complementarios  se realiza a través del aplicativo de función publica</t>
  </si>
  <si>
    <t>Prevención a través del seguimiento al riesgo identificado en la verificacion de la implementación de la política de transparencia y acceso a la información encuentra establecido en el mapa de riesgos de corrupción de la vigencia.</t>
  </si>
  <si>
    <t>El Código se encuentra publicado en la ágina web de la Entidad y su diculgación a través de campañas de manera interna a través del correo institucional</t>
  </si>
  <si>
    <t>El control se realiza a través de socialización de los formatos y guías , además se  recomienda frente a estos casos de conflicto de intereses y en caso de presentarse esta situación hacer su manifiesto de no participar en actividades  que le generen conflicto de interes de manera escrita.</t>
  </si>
  <si>
    <t>Seguimiento constante desde cada dependencia para la detección y prevención del uso inadecuado de la información privilegida de la entida, sin embargo es importante fortalecer  la
adecuada conservación física de la información en
archivos documentales así como su manejo.</t>
  </si>
  <si>
    <t xml:space="preserve">Actualización y Seguimiento a los mapas de riesgos de corrupción de la Entidad </t>
  </si>
  <si>
    <t>Monitoreo de los riesgos de corrupción en la entidad, con una periocidad diferentes dependiendo  la descripción del control. Se cuenta con actualización de mapa de riesgos de corrupción V1. noviembre 2025</t>
  </si>
  <si>
    <t>La Agencia Nacional Digital maneja de manera interna correo electrónico soytransparente@and.gov.co para conocer las presuntas situaciones de vulneracion, ademas se  evidencia correo electrónico de la entidad y redes sociales.</t>
  </si>
  <si>
    <t>El Comité de Control Interno esta  disponible como escenario para evaluar y tomar decisiones frente a este tipo de situaciones que tiene relación.</t>
  </si>
  <si>
    <t>El canal de comunicación interno se maneja a través del proceso de comunicaciones</t>
  </si>
  <si>
    <t>Se realiza monitoreo por parte del profesional de comunicaciones en los canales de denuncia dispuestos   para posibles denunciad de situaciones irregulares o incumplimiento del codigo de etica.</t>
  </si>
  <si>
    <t xml:space="preserve">Mediante Resolución No. 029 de 2021 modificada por la Resolución 008 DE 2024 se encuentra reglamentando su conformación, funciones y periodicidad de reuniones. </t>
  </si>
  <si>
    <t xml:space="preserve">El Comité de Coordinacion de Control Interno de la Agencia Nacional Digital  se reunió en el segundo semestre 2025 en dos (2) ocasiones , en el mes de agosto para abordar los temas de sencibilización del sistema de control interno y la socialización de resultados de la evaluación independiente del sistema de control interno y modificacion del plan anual de auditorías V2 y seguimiento a los planes de mejoramiento </t>
  </si>
  <si>
    <t xml:space="preserve">La Oficina de Control Interno elaboró y socializó el informe de seguimiento de las peticiones, quejas, reclamos y denuncias II Semestre de 2025; presentó cuentas SIRECI, seguimiento plan de mejoramiento COntraloría, propuesta para modificar el plan Anual de Auditorías y presentacion y aprobación de la actualización de la política de gesrtión de riesgos                                                                                                                                                                                                                                                                                                                                           </t>
  </si>
  <si>
    <t>Las lineas de defensa se encuentran establecidas enla Politica Gestión Integral del Riesgo V5 ubicada en el proceso Direccionamiento estratégico</t>
  </si>
  <si>
    <t>Se establece el esquema de las lineas de defensa  y el seguimiento y registro de los riesgos identificados se realiza con base en el nivel de riesgo residual</t>
  </si>
  <si>
    <t>Se recomienda socializar con los funcionarios y contratistas el esquema y monitoreo de las lineas de defensa</t>
  </si>
  <si>
    <t>Las lineas de defensa se encuentran establecidas enla Politica Gestión Integral del Riesgo V5 ubicada en el proceso Direccionamiento estratégico, en que se describe el esquema de las lineas de defensa adoptado por la Agencia Nacional Digital, roles y responsabildiad y monitoreo.</t>
  </si>
  <si>
    <t>Se realiza el seguimiento y registro de riesgos identificados con una periocidad mensual, trimestral, semestral y anual con base en el nivel de riesgo residual y en los casos requeridos el colaborador con funciones de planeación debe presentarlos ante comité de Gestión y Desempeño y la verificación se hace a través de Comité de Coordinación de COntrol Interno</t>
  </si>
  <si>
    <t>Se cuenta definida la Politica de  Gestión Integral del Riesgo V5 ubicada en el proceso Direccionamiento estratégico. La AND implementa las etapas de identificacion y valoracion de los riesgos, teniendo como referencia la guía para la administracion del riesgo y diseño de controles en entidades públicas del DAFP
                                                                                                                             Mapas de Riesgos de Gestión y de Corrupción actualizados a 2025.</t>
  </si>
  <si>
    <t>Actualización  de los Mapas de Riesgos de la AND en noviembre 2025</t>
  </si>
  <si>
    <t>la política define roles y responsabilidades según la linea estrategica</t>
  </si>
  <si>
    <t>La Oficina de Control Interno realiza evaluación al cumplimiento de las acciones establecidas en los mapas de riesgo de corrupción y gestión</t>
  </si>
  <si>
    <t xml:space="preserve">Se realiza seguimiento y monitoria a través de auditorias Internas según el plan anual de auditorías, y seguimiento al cumplimiento de las metas de manera periódica al Plan Estraégico de la AND mediante el comitpe de Gestión y Desempeño y la estructuración, y reporte  del plan de  acción a cargo de la Oficina de Planeación </t>
  </si>
  <si>
    <t>El Comité de gestión y desempeño es el escenario para revisar el 
avance del Plan estratégico</t>
  </si>
  <si>
    <t>mediante autocontrol de los funcionarios y contratistas se realiza verificación a la primera linea de defensa y en la segunda linea planeación analiza las situaciones asociadas a la gestión de riesgos, finalmnete la Oficina de Control Interno realiza dentro de la tercera linea de defensa la evaluacion al cumplimiento de las acciones establecidas los mapas de riesgos</t>
  </si>
  <si>
    <t>La Agencia nacional Digital cuenta con Plan Estratégico de talento humano 2023-2026 ubicado en el proceso de Gestión del Talento Humano se encuentra publicado en la página web de la Entidad a través del vinculo de transparencia y acceso a la información.</t>
  </si>
  <si>
    <t>La gestión del Proceso de Talento humano
está documentada en el Sistema Integrado de
Gestión - SIGAND</t>
  </si>
  <si>
    <t>Se requiere mayor ejecución del plan, para la gestión del talento humano y ejecución y programas para la implementración de la estrategia en su fase de ejecución</t>
  </si>
  <si>
    <t>La Agencia nacional Digital cuenta con el Manual de Funciones y Competencias Laborales y fue actualizado en el segundo semestre de 2025, además, cuenta con un procedimiento de selección, vinculacion, permanencia y desvinculación de personal TH.PR.01 Versión 3</t>
  </si>
  <si>
    <t>A través del l Sistema Integrado de
Gestión - SIGAND proceso Talento Humano, se encuentran publicados los formatos y manuales</t>
  </si>
  <si>
    <t xml:space="preserve">Seguimiento a los procesos </t>
  </si>
  <si>
    <t>La Entidad cuenta con Manual de Funciones
Aprobado en el segundo semestre 2025. Se encuentra en el repositorio de
información del Proceso de Talento humano en el
SIGAND, ademas se realiza a través del proceso de comunicaciones publicaciones del autocontrol de cada funcionario y contratista</t>
  </si>
  <si>
    <t>las modificaciones al manual de funciones se encuentran a cargo de Talento Humano</t>
  </si>
  <si>
    <t>socialización y mensajes de Autocontrol para implementar en el desarrollo de las funciones.</t>
  </si>
  <si>
    <t>La entidad cuenta con el Procedimiento  TH.PR.01 de selección, vinculación, permanenciay desvinculación de personal, TH.FT.09
FORMATO ACTA DE ENTREGA DEL CARGO V1.
TH.FT.10 FORMATO PAZ Y SALVO V1.
TH.FT.11 FORMATO
LIQUIDACIÓN DE CONTRATO DE TRABAJO TÉRMINO  FIJO
V1.</t>
  </si>
  <si>
    <t>Este procedimiento y formatos están a cargo de Talento humano</t>
  </si>
  <si>
    <t>La entidad cuenta con el Plan Institucional de Capacitación - PIC para la vigencia 2025. que se encuentra publicado en la página web de la AND y en el SIGAND</t>
  </si>
  <si>
    <t>Esta actividad se encuentra dentro del proceso de Gestión de Talento Humano</t>
  </si>
  <si>
    <t>Es importante mayor compromiso en el cumplimiento de las acciones indicadas en el cronograma correspondientes del  PIC</t>
  </si>
  <si>
    <t>La Agencia Nacional Digital suscribe contratos de prestacion de servicios para el apoyo a los prouctos y servicios,  los cuales tienen deisgnación de supervisor por parte de los funcionarios , quien realiza el seguimiento al cumplimiento de las actividades asignadas segun el objeto contractual. La Guía de supervisión e interventoría fue actualizada en el segundo semestre de 2025, y e el sigand se encuentras los formatos para el seguimiento</t>
  </si>
  <si>
    <t>Dentro de los procesos de apoyo se encuentra la gestión contractual, y los formatos para el seguimiento a la ejecución de los contratos se encuentran publicados en el SIGAND</t>
  </si>
  <si>
    <t xml:space="preserve">Revision en las Auditorias y Seguimiento de la Oficina de Control Interno, se establecen los formatos y procedimientos </t>
  </si>
  <si>
    <t>Todos los informes que se reportan desde cada una de las dependencias tiene una periodicidad, estan incluidos en el Esquema de Publicación, para ser cargados en la página web de la entidad y si se requieren son socializados en Comité de Gestión y Desempeño y Planeación.</t>
  </si>
  <si>
    <t xml:space="preserve">A traves del proceso de comunicación estratégica se realizan las correspondienes publicaciones </t>
  </si>
  <si>
    <t>Verificación de la publicación y cumplimineto según la pericidad establecida</t>
  </si>
  <si>
    <t>Desde la subdirección Administrativa y financiera se  realiza revisión y análisis a los reportes financieros, ademas El proceso financiero en la AND se conforma con la gestión contable, la la gestión de presupuesto y
Tesorería. Adicional por la naturaleza juridica de la
Entidad se cuenta con una Revisoría Fiscal.</t>
  </si>
  <si>
    <t xml:space="preserve">El Comité Directivo se analizan los estados finacieros y la gestión del presupuesto de manera trimestral </t>
  </si>
  <si>
    <t>Seguimiento trimestral al proceso financiero</t>
  </si>
  <si>
    <t>Reporte CHIP y cuenta anual consolidada SIRECI</t>
  </si>
  <si>
    <t>de manera trimestral y semestral  se realizan seguimientos al Plan Estratégico y Plan de Acción de la AND,  con el fin de dar cumplimiento a las metas y objetivos establecidos para la vigencia.</t>
  </si>
  <si>
    <t xml:space="preserve">En comité de Gestión y desempeño se apruban los planes institucionales y los análisis y consolidado se realiza a través de la oficina de planeación </t>
  </si>
  <si>
    <t>Dentro de la segunda linea de defensa lo realiza la oficina de planeación respecto al monitore de los planes</t>
  </si>
  <si>
    <t>Se cuenta con política de riesgos actualizada y articulada con los lineamientos del DAFP, aprobada en diciembre 2025. Se aprobó   mapa de riesgos de corrupción y de gestión 2025 en  el segundo semestre 2025</t>
  </si>
  <si>
    <t>Según la tercera linea de defensa se realiza el seguimiento al cumplimiento de la política de riesgos</t>
  </si>
  <si>
    <t xml:space="preserve">las matrices establecidas en los mapas de riesgos se trazan los cambios en los procesos </t>
  </si>
  <si>
    <t>Seguimiento y evaluación al cumplimiento según la política y mapa de riesgos</t>
  </si>
  <si>
    <t>La entidad aprueba anualmente mediante comite Institucional de Coordinación de Control Interno ell Programa Anual de Auditoria Interna Integrada presentado por parte de la Oficina de Control Interno. Cada uno de los informes definitivos de las auditorias ejecutadas son socializados y presentados al area correspondiente.</t>
  </si>
  <si>
    <t>las modificaciones al plan anual de auditoría se apruban en comité y se publican en la página web</t>
  </si>
  <si>
    <t xml:space="preserve">En el mes de enero se presentó al Comité de Coordinación de Control Interno el Programa Anual de Auditorías Internas, extraordinarias, externas e informes </t>
  </si>
  <si>
    <t xml:space="preserve">para el segundo semestre de 2025 se dio cumplimientos al Plan Anual de Auditorías y se continuó con el seguimiento según los infromes  de ley proyectados </t>
  </si>
  <si>
    <t>Se realiza seguimiento del cumplimiento del plan
anual de auditorías a través del plan de acción
institucional</t>
  </si>
  <si>
    <t xml:space="preserve">la Agencia nacional Digital cuenta con un plan  estratégico de talento Humano 2023- 2026,  plan Institucional de Bienestar e incentivos y de capacitaciones 2025 Versión 1 de capacitación para 2025 en
su versión 1. 
Procedimiento TH.PR.01 de selección, vinculación, permanenciay desvinculación de personal. 
</t>
  </si>
  <si>
    <t>Se requiere mayor atención a la ejecución de los planes desarrollados en la gestión de talento humano para la permanencia del personal.</t>
  </si>
  <si>
    <t>Plan Estratégico Institucional -el cual se ejecutara en el periodo 2022 - 2026, permiten definir objetivos claros, medibles y coherentes con la misión institucional.</t>
  </si>
  <si>
    <t>En el marco sel Comité Directivo y Comité de
Gestión y Desempeño se hace seguimiento al
avance de los Planes Institucionales</t>
  </si>
  <si>
    <t>Seguimiento  al Plan Estratégico y Planes de Acción.de acuerdo a las lineas de defensa</t>
  </si>
  <si>
    <t>Los procesos con sus obejtivos son aprobados a través de la oficina de planeación en conjunto con la Dirección</t>
  </si>
  <si>
    <t>Seguimiento al Plan Estratégico y Planes de Acción los cuales son medibles .</t>
  </si>
  <si>
    <t>A través de la Dirección se realiza seguimiento permanente a los objetivos institucionales con el fin de medir su ejecución y cumplimiento.</t>
  </si>
  <si>
    <t>El Comité de gestion y desempeño se realiza la evaluación de los resultados de la planeación  institucional</t>
  </si>
  <si>
    <t>Seguimiento al Plan Estratégico y Planes de Acción, mediante comité de gestion y desempeño y control interno</t>
  </si>
  <si>
    <t>La Politica de Administración del Riesgo fue actualizada en la versión 5 en el segundo semestre de 2025</t>
  </si>
  <si>
    <t>La política de gestión de rieisgos comprende los lineamientos transversales para toda la entidad</t>
  </si>
  <si>
    <t>Seguimiento  a la Administración del Riesgo por Procesos y por parte de la revisoría fiscal  como parte de la tercera linea de defensa</t>
  </si>
  <si>
    <t xml:space="preserve">La Oficina de Planeación realiza seguimiento a la Gestión del Riesgo, en el mes de diciembre 2025 se aprobaron los mapas de riesgos de corrupción y de gestión  </t>
  </si>
  <si>
    <t>Desde el equipo de trabajo de planeación se
llevan a cabo mesas de trabajo con los líderes de
procesos para la identificación, actualización y
seguimiento de controles</t>
  </si>
  <si>
    <t xml:space="preserve">En el comité de control interno se presentan las alertas identificadas en el seguimiento </t>
  </si>
  <si>
    <t>Seguimiento en el segundo semtres 2025 a la Administración del Riesgo por Procesos.</t>
  </si>
  <si>
    <t>Una vez la Oficina de Planeación realiza seguimiento a la Gestión del Riesgo por Procesos, los resultados son socializados en los Comités de gestión y desempeño para su conocimiento y análisis.</t>
  </si>
  <si>
    <t>De acerdo a las lineas de defensa se cumplen con los reportes y  se llevan a cabo los seguimientos, actualizaciones y materialización de posibles riesgos</t>
  </si>
  <si>
    <t xml:space="preserve"> Dentro del periodo evaluado no se presentó materialización del riesgo, sin embargo en caso de presentarse se actuará conforme a la calificación y manejo plasmados en los mapas de riesgos de la Entidad, en diciembre 2025 se realizó actualización. De la Política de Gestión
Integral del Riesgo" Evidencia en SIGAND</t>
  </si>
  <si>
    <t>La política de gestión de reisgos comprende los lineamientos transversales para toda la entidad</t>
  </si>
  <si>
    <t xml:space="preserve">El documento de politica de gestión integral del riesgo comprende de manera transversal los
lineamientos para la gestión de riesgos de gestión,
seguridad digital, proyectos y corrupción </t>
  </si>
  <si>
    <t>se realiza a corde a lo definido en la Guia
de Gestón Integral del Riesgo por la 1ª , 2ª y 3°
línea de defensa.
Para el cierre de brechas se adelantan Planes de
mejoramiento para mitigarla materialización de
los riesgos.</t>
  </si>
  <si>
    <t>Se mantiene el monitoreo y evaluación a los
Riesgos y Controles tal como lo prevee laPolítica
de gestión Integral del Riesgo aprobada por la
AND</t>
  </si>
  <si>
    <t>En el Comité de Gestión y Desempeño se
revisa los resultados de la evaluación de Riesgos
y Controles</t>
  </si>
  <si>
    <t>La Agencia Nacional Digital  realizó actualización del mapa de riesgos de corrupción en el segundo semestre 2025, teniendo en cuenta el entorno interno y externo. Además, cuenta con el  Programa de transparencia y ética pública</t>
  </si>
  <si>
    <t>Se cuenta con mapa de riesgos de corrupción actualizado diciembre 2025</t>
  </si>
  <si>
    <t>Se cuenta con el programa de transparencia y ética pública</t>
  </si>
  <si>
    <t xml:space="preserve">Desde cada dependencia se monitorean los riesgos y se realiza un consolidado  del seguimiento a la administración del riesgo. </t>
  </si>
  <si>
    <t>Desde la tercera línea de defensa se realiza el
seguimientol a los mapas de riesgos de
corrupción y el Programa de transparencia</t>
  </si>
  <si>
    <t>Se cuenta con el programa de transparecia y
ética pública</t>
  </si>
  <si>
    <t>Cada dependencia desde el desarrollo de sus funciones es responsable de la administración del riesgo y desde control interno se efectua un acompañamiento y seguimiento al mismo, según las lineas de defensa</t>
  </si>
  <si>
    <t xml:space="preserve">Se cuenta con la gestión por procesos </t>
  </si>
  <si>
    <t>las funciones se distribuyen en los funcionarios teniendo como base el manual de funciones actualizado en el segundo semestre 2025</t>
  </si>
  <si>
    <t>Seguimiento  a la Administración del Riesgo por Procesos</t>
  </si>
  <si>
    <t>Los mapas de riesgos estan diseñados para
establecer los planes de acción que fortalezcan
los controles establecidos</t>
  </si>
  <si>
    <t>Los resultados de los seguimientos realizados se
presentan ante el comité de Gestión y
Desempeño y comité de control interno</t>
  </si>
  <si>
    <t>observaciones y reocmendaciones 3 linea de defensa</t>
  </si>
  <si>
    <t>Se Diseñan planes de mejoramiento para abordar
las debilidades y desviaciones en la ejecución
de controles de los Riesgos</t>
  </si>
  <si>
    <t>Conforme a la Politica de Administración del Riesgo, se monitorean y actualizan los factores internos y externos.</t>
  </si>
  <si>
    <t>La actualización de las matrices se realiza de manera integral por cada proceso con acompañamiento del área de planeación</t>
  </si>
  <si>
    <t>Desde la política se comprende el monitoreo, la segunda linea de defensa se encarga de su aplicación y la tercera línea presenta las desviaciones frente al monitoreo realizado, en la actualización se adiciona la Revisoría Fiscal como parte de la tercera línea de defensa</t>
  </si>
  <si>
    <t>Mapas de riesgos del Proceso de Gestión
Contractual que reposa en el SIGAND</t>
  </si>
  <si>
    <t>La contratación con terceros se encuentran dentro de los mapas de riesgos para identificar la exposición</t>
  </si>
  <si>
    <t>Desde las lineas  de defensa se llevan a cabo las acciones para que la Alta dirección tome decisiones</t>
  </si>
  <si>
    <t>Desde cada dependencia se monitorean los riesgos y se realiza un consolidado semestral del seguimiento a la administración del riesgo.</t>
  </si>
  <si>
    <t>En comité de gestión y desempeño y control interno se presentan de manera general el mapa de riesgos, los cuales fueron actualizados en diciembre 2025</t>
  </si>
  <si>
    <t>Desde las minutas de contratos se mitiga parte
del riesgo a través de las pólizas de
cumplimiento y calidad del servicio</t>
  </si>
  <si>
    <t>La política de riesgos comprende de manera
general los lineameintos para la gestión de riesgos
de corrupción en todos los procesos de la
Agencia. De acuerdo con la actualización de l apolítica en el segundo semestre 2025 Se incorporó en el punto 8 la descriptiva de la gestión de riesgos
 Gestión de Riesgos de Corrupción y LA/FT</t>
  </si>
  <si>
    <t>En la actualización del POLÍTICA GESTIÓN INTEGRAL DEL RIESGO V5, Se incorpora en el punto 8 la descriptiva de la gestión de riesgos
 Gestión de Riesgos de Corrupción y LA/FT
 Gestión de Riesgos Operacionales o de gestión
 Gestión de Riesgos de Seguridad de la Información 
 Gestión de Riesgos Fiscale</t>
  </si>
  <si>
    <t>Documento "Política de gestión Integral del
Riesgo V5" actualizado en el segundo semestre 2025, así como el 
Mapas de riesgos - Evidencias en el SIGAND</t>
  </si>
  <si>
    <t>Se monitorean por la segunda línea de defensa y
se fortalecen con los planes de acción</t>
  </si>
  <si>
    <t>en la actualización de la POLÍTICA GESTIÓN INTEGRAL DEL RIESGO
Versión: 5 se tuvo en cuenta roles y responsabilidades en la lnea estratégica a la Alta Dirección.
Comité de Gestión y
Desempeño y Comité
Institucional de
Coordinación de
Control Interno, ademas se  Se incluye la declaratoria de la AND de cumplimiento</t>
  </si>
  <si>
    <t>El contexto de Entidad es abordade desde el
Plan estratégico Institucional y desde la Política de
Gestión Integral del riesgo para cada vigencia, con
el propósito de identificar factores (internos y
externos) que puedan afectar el cumplimiento de
los objetivos de la AND..</t>
  </si>
  <si>
    <t>Se realizan auditorías con enfoque en riesgos,
de esta manera se evalua el estado actual de la
gestión</t>
  </si>
  <si>
    <t>Desde la política se realizó actualización del alcance de la política, Referenciación de Guía para la administración del riesgo y el diseño 
de controles en entidades públicas versión 7, Se adicionó la Revisoría Fiscal como parte de la tercera línea de 
defensa</t>
  </si>
  <si>
    <t xml:space="preserve">Seguimiento a las actividades de los diferentes procesos, y la responsabilidad y roles son asumidos por cada dependencia </t>
  </si>
  <si>
    <t xml:space="preserve">En el Manual de Funciones de la Entidad se encuentra desagregadas las responsabilidades y funciones, sin embargo desde Control Interno se efectua un acompañamiento y seguimiento a los riesgos, igualmente según la necesidad se realizan contrataciones de prestación de servicios profesionales </t>
  </si>
  <si>
    <t xml:space="preserve">prestación de servicios, que permitan el cumplimiento de la misionalidad de la Agencia, así como tener una correcta segregación de funciones. </t>
  </si>
  <si>
    <t>La contratación por prestación de servicios profesionales, se realiza de acuerco con el manual de contratación, y la certificación de  la insuficiencia o inexistencia del personal, sin embargo es necesario establecer mecanismos de seguimiento periódico que permitan evaluar la eficacia de los controles definidos, en concordancia con los lineamientos del Sistema de Control Interno.</t>
  </si>
  <si>
    <t>La entidad tiene un procedimiento en el SIGAND de  políticas de seguridad y privacidad de la información y matrices de riesgo de seguridad digital</t>
  </si>
  <si>
    <t>El Comité de Coordinación de Control Interno es un escenario para evaluar y tomar decisiones frente aposibles desviaciones encontradas</t>
  </si>
  <si>
    <t>La Agencia Nacional Digital cuenta con actividades de control asociadas a la infraestructura tecnológica, la seguridad de la información y los procesos de adquisición, desarrollo y mantenimiento de tecnologías</t>
  </si>
  <si>
    <t>la mayoría de la contratación se realiza a traves de acuerdos marco con aliados estratégicos</t>
  </si>
  <si>
    <t xml:space="preserve">la AND cuenta con actividades de control interno orientadas al seguimiento y evaluación de las actividades realizadas por proveedores de tecnología, así como por alianzas y terceros estratégicos que apoyan la operación de servicios digitales. Dichos controles se materializan a través de la supervisión contractual, la evaluación del desempeño y el seguimiento al cumplimiento de obligaciones. CT.FT.13 FORMATO MATRIZ DE DESEMPEÑO DE PROVEEDORES - TERCEROS </t>
  </si>
  <si>
    <t>para el proceso contractual se cuenta con formato de análisis del sector y el estudio de mercado a través de cotizaciones</t>
  </si>
  <si>
    <t>Si bien la Agencia Nacional Digital cuenta con actividades de control interno para el seguimiento de proveedores de tecnología, así como de alianzas y terceros estratégicos, se evidenció la necesidad de fortalecer la aplicación sistemática y documentada de la evaluación a proveedores.</t>
  </si>
  <si>
    <t>En el Manual de Funciones de la entidad se encuentra desagregadas las responsabilidades y funciones., además uenta con la definición de roles y perfiles de usuario en sus sistemas de información, asignados de acuerdo con las funciones del cargo y las responsabilidades institucionales, lo cual permite limitar accesos, prevenir concentraciones indebidas de funciones y mitigar riesgos asociados al uso inadecuado de la información.</t>
  </si>
  <si>
    <t>Se cuenta con manual de funciones actualizado segundo semestre 2025</t>
  </si>
  <si>
    <t xml:space="preserve">Se cuenta con formatos para la solicitud de usuarios y roles en los sistemas de información </t>
  </si>
  <si>
    <t>Se realiza en los procesos y procediiento control de quien autortiza, ejecuta y controla</t>
  </si>
  <si>
    <t xml:space="preserve">Seguimiento a las actividades de la Oficina de Talento Humano y gestión de la seguridad y privacidad de la información </t>
  </si>
  <si>
    <t>La Oficina de Control Interno realiza seguimiento a traves de auditorias internas, seguimiento a planes de mejoramiento, y seguimiento a los mapas de riesgos,  relacionados con los proveedores de servicios.</t>
  </si>
  <si>
    <t xml:space="preserve">Control Interno utiliza información de la 3a línea de defensa para evaluar la madurez y la eficacia de los procesos de gestión de riesgos, incluyendo la supervisión sobre proveedores. </t>
  </si>
  <si>
    <t>Anualmente se presentan los resultados ante la alta dirección, las desviaciones se gestionan a través de planes de mejoramiento</t>
  </si>
  <si>
    <t>Se evalua a traves de las auditorias internas y por parte de la Revisoría fiscal</t>
  </si>
  <si>
    <t>Auditorias Internas Integradas
Seguimientos periódicos a los procesos.</t>
  </si>
  <si>
    <t>El seguimiento se realiza desde la segfunda y tercela linea de defensa</t>
  </si>
  <si>
    <t>Se realiza seguimiento al mapa de riesgos actualizado en 2025</t>
  </si>
  <si>
    <t>El Comité de Coordinación de Control Interno es un escenario para realizar el seguimiento</t>
  </si>
  <si>
    <t>la política establece los lineamientos, roles y responsabilidades para el seguimiento</t>
  </si>
  <si>
    <t>Auditorias Internas Integradas
Seguimientos periódicos  a los procesos, y plan de acción</t>
  </si>
  <si>
    <t>Cada dependencia desde el desarrollo de sus funciones y de acuerdo a las lineas  de defensa es responsable de la administración del riesgo y desde control interno se efectua un acompañamiento y seguimiento al mismo.</t>
  </si>
  <si>
    <t>Desde el equipo de trabajo de planeación se llevan a cabo las actualizaciones y seguimientos de riesgos, como sefunda linea de defensa</t>
  </si>
  <si>
    <t xml:space="preserve">
Seguimientosperiódico s a los procesos junto con el plan de acción</t>
  </si>
  <si>
    <t xml:space="preserve">
POLÍTICA DE COMUNICACIÓN ESTRATÉGICA - V5 Y PLAN ESTRATÉGICO DE COMUNICACIONES V1 2023-2026</t>
  </si>
  <si>
    <t>El Comité  de gestión y desempeño se realiza el seguimiento al cumplimeinto del plan de acción de comunicaciones</t>
  </si>
  <si>
    <t>existe la estrategia de rendicion de cuentas</t>
  </si>
  <si>
    <t xml:space="preserve">Desde gestión comunicaciones estrategicas se cuenta con información de toda la entidad y su difusión </t>
  </si>
  <si>
    <t>La línea estratégica define los lineamientos para
funcionalidad y operación de los Sistemas de
Información en los que se apoya la gestión de la
Entidad.</t>
  </si>
  <si>
    <t>Se cuenta con los lineamientos y metodología para facilitar la comunicación asertiva y efectiva a los grupos de valor</t>
  </si>
  <si>
    <t>La entidad trabaja  con fuentes de datos confiables internas y externas como las PQRSD y encuestas de satisfacción</t>
  </si>
  <si>
    <t>En el marco del comité de control interno se presentan los resultados de seguimeintos a PQRSD e informes de seguimiento de rendición</t>
  </si>
  <si>
    <t>Desde  la tercera línea de defensa se lleva a cabo el seguimeinto periódico del cumplimiento de transparencia y acceso a la información</t>
  </si>
  <si>
    <t xml:space="preserve"> Indice de Información Clasificada y Reservada, así como la política y procedimientos para la protección de datos</t>
  </si>
  <si>
    <t>Desde el proceso de seguimiento, medición, evaaluación y control se realiza el seguimiento del cumplimiento del programa de transparencia y acceso a la información</t>
  </si>
  <si>
    <t>Durante el periodo evaluado la primera instancia de comunicación es el Comité de gestión y desempeño  como tambien la divulgación de los planes institucionales y sus avances.</t>
  </si>
  <si>
    <t>Verificación de cumplimiento a través de la linea estratégica para la operación de los sistemas de información</t>
  </si>
  <si>
    <t>repositorio de información Share Point</t>
  </si>
  <si>
    <t xml:space="preserve">En la Agencia nacional Digital cada una de las dependencias realiza el manejo de la información bajo su responsabilidad y conforme  a la POLÍTICA DE COMUNICACIÓN ESTRATÉGICA - V5  y Política de seguridad y provacidad de la información. </t>
  </si>
  <si>
    <t xml:space="preserve">Los canales de información internos para denuncias anonimas y link de transparencia, correo electrónico de la entidad y de manera escrita. </t>
  </si>
  <si>
    <t>se cuenta con el procedimiento de PQRSD el cual comprende aquellas que son anónimas</t>
  </si>
  <si>
    <t>El correo de conflictos de interes se gestiona a
través del área de comunicaciones y se
comunican las denuncias al líder de talento
humano</t>
  </si>
  <si>
    <t>Se cuenta con el documento POLÍTICA DE
COMUNICACIÓN ESTRATÉGICA V5. y en el  Proceso Comunicación estratégica, el PLAN
ESTRATÉGICO DE COMUNICACIONES V1 2023-2026</t>
  </si>
  <si>
    <t>POLÍTICA DE COMUNICACIÓN ESTRATÉGICA - V5, PLAN DE ACCIÓN COMUNICACIONES AND 2025, PLAN ESTRATÉGICO DE COMUNICACIONES V1 2023-2026</t>
  </si>
  <si>
    <t xml:space="preserve">Se cuenta con la estrategia de rendición de cuentas </t>
  </si>
  <si>
    <t>Seguimiento correspondiente para facilitar la comunicación interna y externa</t>
  </si>
  <si>
    <t>Se cuenta con los lineamientos y metodología
para facilitar la comunicación asertiva y efectiva
a los grupos de valor</t>
  </si>
  <si>
    <t>Desde el comite de GyD se realiza el
seguimiento al cumplimiento del plan de acción
de comunicaciones</t>
  </si>
  <si>
    <t>En la Sede electrónica se promueven y dan a
conocer los canales de comunicación de la
Agencia</t>
  </si>
  <si>
    <t>Se cuenta con la estrategía de rendición de
cuentas</t>
  </si>
  <si>
    <t>La recepción, clasificación y distribución de la
información entrante se realiza con el apoyo
del grupo de Gestión documental.</t>
  </si>
  <si>
    <t>Informe de seguimiento a medición de satisfacción del cliente, como encuestas de satisfacción</t>
  </si>
  <si>
    <t>Procedimiento de rendición de cuentas
política de comunicaciones</t>
  </si>
  <si>
    <t>Se evalua la efectividad de los canales a través de las encuestas de satisfacción</t>
  </si>
  <si>
    <t>Se lleva a cabo las actividades de
caracterización de usuarios</t>
  </si>
  <si>
    <t>actualización de la sede electrónica de la AND</t>
  </si>
  <si>
    <t>De acuerdo a las encuestas de satisfacción aplicadas , se evaluan las conclusiones por parte la dependencia competente y de la Alta Dirección, Se cuenta con los procedimientos y
documentos para Rendición de cuentas y
caracterización de usuarios</t>
  </si>
  <si>
    <t>Se analizan los resultados de las encuestas de percepción aplicadas a los usuarios por parte de la dependencia competente y la Alta Dirección. Además, dentro de la política de comunicaciones se relaciona la rendicion de cuentas y los grupos de valor</t>
  </si>
  <si>
    <t>Actualización de la base de datos por parte de la dependencia responsable, y se clasifica la infromación que llega por los canales de comunicaciones de conformidad con los
lineamientos de cada política</t>
  </si>
  <si>
    <t xml:space="preserve">plan anual de auditorías en 3 versiones aprobado publicado </t>
  </si>
  <si>
    <t>En el marco del comité se verifica el cumplimiento de la ejecución del programa anual de auditorías y se toman las acciones preventivas</t>
  </si>
  <si>
    <t>En el segundo semestre 2025 se realizaron dos modificaciones al plan anual de auditorias</t>
  </si>
  <si>
    <t>En el mes de agosto y noviembre de 2025 se presentó al Comité de Coordinación de Control Interno el modificacion al Programa Anual de Auditorías Internas Integradas, fue aprobado por unanimidad</t>
  </si>
  <si>
    <t>Todos los informes como insumos de seguimientos, auditorias y controles son presentados a la Alta Dirección para conocimiento y son socializados en Comité de control interno y de gestión y desempeño</t>
  </si>
  <si>
    <t>Se realiza de acuerdo a planificación en el programa anual de auditorias</t>
  </si>
  <si>
    <t>Informes presentandos ante el Comité de control interno y para su conocimiento y fines pertinentes.</t>
  </si>
  <si>
    <t>los resultados de las auditorías son omunicadas a las dependencias auditadas, así como las realizadas por la revisoria fiscal</t>
  </si>
  <si>
    <t>La Oficina de Control Interno  realiza seguimientos periódicos a los procesos, que le permite evaluar el diseño y operación de los controles establecidos y definir su efectividad para evitar la materialización de riesgos.</t>
  </si>
  <si>
    <t>se cumple con el procedimientos de monitoreo continuo como parte de las actividades de la 2a línea de defensa, a fin de contar con información clave para la toma de decisiones.</t>
  </si>
  <si>
    <t>Por la Naturaleza Jurídica de la Agencia nacional
Digital se cuenta con la Revisoría Fiscal, que
adelanta las auditorias de su competencia .
También la Contraloría General de la Nación
realiza visitas para auditar la cuenta de la AND</t>
  </si>
  <si>
    <t>Los entes de vigilancia y control
comprenden las auditorías de
cumplimiento</t>
  </si>
  <si>
    <t xml:space="preserve">se realiza socialización de los informes generados por la revisoría fiscal </t>
  </si>
  <si>
    <t>Seguimiento y acompañamiento al cumplimiento de los planes de mejoramientos con los entes externos</t>
  </si>
  <si>
    <t>La Oficina de Control Interno  realiza seguimientos periódicos a los procesos, y si como resultado genera alguna no conformidad, se realiza el Plan de Mejoramiento correspondiente.</t>
  </si>
  <si>
    <t>Se consolidan los planes de mejoramiento con
los líderes de procesos involucrados y se lleva a
cabo el seguimeinto periódico</t>
  </si>
  <si>
    <t>Desde la resolución de adopción del modelo se detallan los lineamientos y responsabilidades de cada una de las instancias de control</t>
  </si>
  <si>
    <t>La entidad tiene implementado el formato  PSM.FT.07 PLAN DE MEJORAMIENTO V1 y el procedimiento SM.PR.03 PROCEDIMIENTO DEFINICIÓN Y SEGUIMIENTO DE INDICADORES V1para conocer responsables y actividades. Y el MECI</t>
  </si>
  <si>
    <t>Mediante matriz de riesgos</t>
  </si>
  <si>
    <t>Se realiza la evaluación de la información y se establecen las recomendaciones u oportunidades de mejora correspondiente</t>
  </si>
  <si>
    <t>Se realiza evaluación de manera periódica al informe de PQRSD por parte de la Oficina de Control Interno y  y posteriormente para ser publicado en la página web.</t>
  </si>
  <si>
    <t>Desde los informes de PQRSD se identifican las principales causas de consulta o denuncia de la agencia y en caso de existir relacionadas</t>
  </si>
  <si>
    <t>Los informes son socializados en comité de control interno</t>
  </si>
  <si>
    <t>Desde la tercera línea de defensa se
solicitan las evidencias para el cierre
de actividades, Y se evalua la
efectividad de dichas acciones,</t>
  </si>
  <si>
    <t>Auditorias Internas Integradas
Seguimientos periódico a los procesos.</t>
  </si>
  <si>
    <t>Dentro del periodo evaluado se realizó cumplimiento al plan de mejoramiento con la CGR de la vigencia 2023, asi mismo se realizó evaluación y seguimiento a los Planes de Mejoramiento producto de la Auditorias según plan anual</t>
  </si>
  <si>
    <t>En caso de presentarse deficiencias de control interno si son reportadas a los responsables o lideres de los procesos, para tomar acciones.</t>
  </si>
  <si>
    <t>La política de riesgos comprende de manera
general los lineameintos para la gestión de riesgos
de corrupción en todos los procesos de la
Agencia. De acuerdo con la actualización de la política en el segundo semestre 2025 Se incorporó en el punto 8 la descriptiva de la gestión de riesgos
Gestión de Riesgos de Corrupción y LA/FT</t>
  </si>
  <si>
    <t xml:space="preserve"> La Oficina de Control Interno realiza seguimientos periódicos, auditorías, informes de ley y monitoreo a planes institucionales, financieros y de riesgos, evidenciando una estructura de monitoreo activa y articulada. Sin embargo, se requiere fortalecer el cierre efectivo de acciones, el compromiso de las áreas responsables y la ejecución completa de los planes definidos, con el fin de consolidar la mejora continua del Sistema de Control Interno.</t>
  </si>
  <si>
    <t>La AND considera la autoevaluación y la evaluación independiente de Control Interno y de Revisoría Fiscal, como herramientas
importantes para el seguimiento de la operación de los procesos y procedimientos, analiza las desviaciones detectadas y solicita
el compromisos de los líderes para la implementación de planes de Mejora efectivos.</t>
  </si>
  <si>
    <t xml:space="preserve">El plan Estratégico de Comunicaciones y Politica documentada,se han dispuesto para la gestión de los datos y las comunicaciones
internas y externas. Y estas satisfacen las necesidades de divulgación de resultados, información de eventos Institucionales de interés General e interinstitucional incluyendo sus grupos de valor.
</t>
  </si>
  <si>
    <t xml:space="preserve">
La Agencia Nacional Digital AND, A través del Sistema de Gestión Integral. SIGAND define politicas de Operación que propenden por la mitigación de los riesgos que puedan afectar el cumplimiento de sus metas y objetivos propuestos. Su aplicación se mide a trarvés de Indicadores de gestión y presentación de informe con los avances de los diferentes proyectos que desarrolla dentro de su
misionalidad.
</t>
  </si>
  <si>
    <t xml:space="preserve">La Alta Dirección define objetivos y condiciones para la Gestión Integral del riesgo; sin embargo se hace necesario
reforzar la actualización de los riesgos identificados, Fortalecer lagestión de riesgos de corrupción, y la evaluación de los controles.
</t>
  </si>
  <si>
    <t xml:space="preserve"> 
Documentalmente se evidencia condiciones para un
ambiente Etico sobre el cual se construye la gestión de la Agencia Nacional Digital con un enfoque en Control que se revisa por la alta Dirección en los comités establecidos. Se destaca el compromiso de la Alta Dirección para el logro de los Objetivos
 nstitucionales y cumplimiento de la Misión encomendada a la -AND-                                                                                                                                                                                                                                                                                                                                                                                                                                                                                                                                                                                                                   </t>
  </si>
  <si>
    <t>La Agencia Nacional Digital, dentro de la implementación del Sistema de Control Interno cuenta con una institucionalidad que le permite la toma de decisiones, cuenta con una estructura jerárquica debidamente establecida, manuales de funciones, manual de procesos, procedimientos, comités específicos de trabajo, líneas de comunicación efectivas, código de integridad, tiene una planeación anual con seguimientos, posee mapas de riesgos actualizados a 2025, tiene definido su mapa de procesos, tiene identificado las lineas de defensas, de las cuales si se requiere que estas sean fortalecidas, para que haya un mejor seguimiento y aplicación de las mismas por parte de los responsables de los procesos.</t>
  </si>
  <si>
    <t>El Sistema de Control Interno de la Agencia Nacional Digital, es efectivo para el cumplimiento de los objetivos, no obstante requiere ser fortalecido en todas sus líneas de defensa, lo cual permitirá una mejor implementación del Sistema; para ello, es fundamental mayor activación de las líneas de defensa y establecer la responsabilidades en cada una de ellas.</t>
  </si>
  <si>
    <t>Corporación Agencia Nacional de Gobierno Digital</t>
  </si>
  <si>
    <t>SEGUNDO SEMESTRE VIGENCIA 2025</t>
  </si>
  <si>
    <t xml:space="preserve">De acuerdo con los resultados obtenidos en el seguimiento al Sistema de Control Interno para el segundo semestre del año 2025, se concluye que todos los componentes están operando de manera integrada; no obstante, en algunos componentes se encuentran con  deficiencia de control y se deben emprender acciones para su implementación y/o fortalecimiento. Lo anterior, teniendo en cuenta que el Ambiente de Control obtuvo un nivel de cumplimiento del 92%, seguido de la Evaluación de Riesgos con 100%, Actividades de Control con 92%, también se observa un buen nivel de implementación del Sistema de Control Interno en lo relacionado con la Información y la Comunicación obteniendo un 100% y Monitoreo con 100%. Se deben seguir implementando acciones para optimizar todos los componentes a fin de que el Sistema de Control Interno de la Agencia Nacional Digital funcione acorde con la normatividad y procedimientos establecidos.
</t>
  </si>
  <si>
    <t>La AND cuenta con actividades de control definidas, documentadas y en funcionamiento, articuladas con la evaluación de riesgos, la segregación de funciones y el despliegue de políticas y procedimientos, lo cual constituye una fortaleza del Sistema de Control Interno. Se evidencia acompañamiento y seguimiento desde las líneas de defensa, controles sobre procesos misionales, tecnológicos y administrativos, así como monitoreo periódico a través de auditorías internas, comités institucionales y planes de mejoramiento. No obstante, se identifican debilidades relacionadas con el fortalecimiento del seguimiento sistemático y documentado a la eficacia de controles alternativos y a la evaluación de proveedores de tecnología y aliados estratégicos, con el fin de asegurar mayor trazabilidad y efectividad en la mitigación de los riesgos identificados.</t>
  </si>
  <si>
    <t>Se cuenta con mecanismos de divulgación interna y externa de la información institucional, incluyendo la publicación de instrumentos en la página web, campañas internas y monitoreo de canales de denuncia, lo cual representa una fortaleza. Como debilidad, se identifica la necesidad de continuar  fortaleciendo la trazabilidad, conservación documental y la comunicación interna orientada al autocontrol y a la claridad de responsabilidades en materia de control interno.</t>
  </si>
  <si>
    <t>La entidad cuenta con seguimiento periódico a la Política de Administración del Riesgo y a los mapas de riesgos de gestión y corrupción actualizados durante el segundo semestre de 2025, con participación de las tres líneas de defensa, lo cual constituye una fortaleza del sistema. Sin embargo, se identifican oportunidades de mejora en la continuidad de la ejecución oportuna de las acciones definidas en los planes, así como en la socialización y apropiación del esquema de líneas de defensa por parte de funcionarios y contratistas, para asegurar una gestión del riesgo más efectiva y preventiva.</t>
  </si>
  <si>
    <t>Se evidencian fortalezas asociadas al seguimiento realizado en el marco del Comité Institucional de Coordinación de Control Interno, así como a la estructuración y divulgación del Código de Integridad conforme a la metodología de Función Pública. Se destacan las campañas de interiorización de valores, el monitoreo del cumplimiento del cronograma y la reducción de indicadores negativos como ausentismo y quejas ciudadanas. No obstante, persisten debilidades relacionadas con la ejecución integral de los planes de talento humano, porgramas para la permanencia del personal  y la adecuada conservación física de la información, lo que requiere mayor fortalecimiento operativo.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</si>
</sst>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00"/>
    <numFmt numFmtId="166" formatCode="0.0000"/>
    <numFmt numFmtId="167" formatCode="0.00000"/>
    <numFmt numFmtId="168" formatCode="0.000000"/>
  </numFmts>
  <fonts count="59" x14ac:knownFonts="1">
    <font>
      <sz val="10"/>
      <color theme="1"/>
      <name val="Arial"/>
      <family val="2"/>
    </font>
    <font>
      <b/>
      <sz val="10"/>
      <color theme="1"/>
      <name val="Arial"/>
      <family val="2"/>
    </font>
    <font>
      <b/>
      <sz val="10"/>
      <color indexed="18"/>
      <name val="Arial"/>
      <family val="2"/>
    </font>
    <font>
      <u/>
      <sz val="10"/>
      <color theme="10"/>
      <name val="Arial"/>
      <family val="2"/>
    </font>
    <font>
      <sz val="10"/>
      <name val="Arial"/>
      <family val="2"/>
    </font>
    <font>
      <b/>
      <i/>
      <sz val="10"/>
      <name val="Arial"/>
      <family val="2"/>
    </font>
    <font>
      <b/>
      <sz val="12"/>
      <color theme="0"/>
      <name val="Arial"/>
      <family val="2"/>
    </font>
    <font>
      <b/>
      <sz val="12"/>
      <name val="Arial"/>
      <family val="2"/>
    </font>
    <font>
      <sz val="10"/>
      <color theme="1"/>
      <name val="Calibri"/>
      <family val="2"/>
      <scheme val="minor"/>
    </font>
    <font>
      <b/>
      <i/>
      <sz val="10"/>
      <color theme="1"/>
      <name val="Arial"/>
      <family val="2"/>
    </font>
    <font>
      <sz val="12"/>
      <name val="Times New Roman"/>
      <family val="1"/>
    </font>
    <font>
      <sz val="10"/>
      <name val="Arial Narrow"/>
      <family val="2"/>
    </font>
    <font>
      <b/>
      <sz val="14"/>
      <name val="Arial Narrow"/>
      <family val="2"/>
    </font>
    <font>
      <b/>
      <u/>
      <sz val="11"/>
      <name val="Arial Narrow"/>
      <family val="2"/>
    </font>
    <font>
      <b/>
      <sz val="10"/>
      <name val="Arial Narrow"/>
      <family val="2"/>
    </font>
    <font>
      <b/>
      <sz val="11"/>
      <name val="Arial Narrow"/>
      <family val="2"/>
    </font>
    <font>
      <b/>
      <sz val="9"/>
      <name val="Arial Narrow"/>
      <family val="2"/>
    </font>
    <font>
      <b/>
      <i/>
      <u/>
      <sz val="9"/>
      <name val="Arial Narrow"/>
      <family val="2"/>
    </font>
    <font>
      <sz val="9"/>
      <name val="Arial Narrow"/>
      <family val="2"/>
    </font>
    <font>
      <sz val="11"/>
      <name val="Arial Narrow"/>
      <family val="2"/>
    </font>
    <font>
      <sz val="12"/>
      <color theme="1" tint="0.34998626667073579"/>
      <name val="Arial Narrow"/>
      <family val="2"/>
    </font>
    <font>
      <sz val="11"/>
      <color theme="1"/>
      <name val="Arial Narrow"/>
      <family val="2"/>
    </font>
    <font>
      <b/>
      <sz val="11"/>
      <color theme="1"/>
      <name val="Arial Narrow"/>
      <family val="2"/>
    </font>
    <font>
      <u/>
      <sz val="11"/>
      <color theme="10"/>
      <name val="Arial Narrow"/>
      <family val="2"/>
    </font>
    <font>
      <b/>
      <sz val="11"/>
      <color theme="0"/>
      <name val="Arial Narrow"/>
      <family val="2"/>
    </font>
    <font>
      <sz val="11"/>
      <color theme="0"/>
      <name val="Arial Narrow"/>
      <family val="2"/>
    </font>
    <font>
      <b/>
      <u/>
      <sz val="11"/>
      <color theme="0"/>
      <name val="Arial Narrow"/>
      <family val="2"/>
    </font>
    <font>
      <i/>
      <sz val="11"/>
      <color theme="0"/>
      <name val="Arial Narrow"/>
      <family val="2"/>
    </font>
    <font>
      <b/>
      <sz val="11"/>
      <color theme="1" tint="0.249977111117893"/>
      <name val="Arial Narrow"/>
      <family val="2"/>
    </font>
    <font>
      <b/>
      <sz val="10"/>
      <color theme="1"/>
      <name val="Arial Narrow"/>
      <family val="2"/>
    </font>
    <font>
      <sz val="10"/>
      <color theme="1"/>
      <name val="Arial Narrow"/>
      <family val="2"/>
    </font>
    <font>
      <b/>
      <sz val="12"/>
      <color theme="0"/>
      <name val="Arial Narrow"/>
      <family val="2"/>
    </font>
    <font>
      <b/>
      <sz val="10"/>
      <color theme="0"/>
      <name val="Arial Narrow"/>
      <family val="2"/>
    </font>
    <font>
      <b/>
      <sz val="16"/>
      <color theme="0"/>
      <name val="Arial Narrow"/>
      <family val="2"/>
    </font>
    <font>
      <sz val="10"/>
      <color rgb="FFFF0000"/>
      <name val="Arial"/>
      <family val="2"/>
    </font>
    <font>
      <sz val="10"/>
      <color theme="0"/>
      <name val="Arial Narrow"/>
      <family val="2"/>
    </font>
    <font>
      <sz val="10"/>
      <color rgb="FFFF0000"/>
      <name val="Arial Narrow"/>
      <family val="2"/>
    </font>
    <font>
      <b/>
      <sz val="10"/>
      <color rgb="FFFF0000"/>
      <name val="Arial"/>
      <family val="2"/>
    </font>
    <font>
      <b/>
      <sz val="12"/>
      <color rgb="FFFF0000"/>
      <name val="Arial"/>
      <family val="2"/>
    </font>
    <font>
      <sz val="10"/>
      <color theme="1"/>
      <name val="Arial"/>
      <family val="2"/>
    </font>
    <font>
      <b/>
      <sz val="18"/>
      <color theme="0"/>
      <name val="Arial"/>
      <family val="2"/>
    </font>
    <font>
      <b/>
      <sz val="22"/>
      <color theme="1"/>
      <name val="Arial Narrow"/>
      <family val="2"/>
    </font>
    <font>
      <sz val="20"/>
      <color rgb="FFFF0000"/>
      <name val="Arial"/>
      <family val="2"/>
    </font>
    <font>
      <b/>
      <sz val="16"/>
      <color theme="1"/>
      <name val="Arial"/>
      <family val="2"/>
    </font>
    <font>
      <b/>
      <sz val="12"/>
      <name val="Arial Narrow"/>
      <family val="2"/>
    </font>
    <font>
      <b/>
      <sz val="16"/>
      <name val="Arial Narrow"/>
      <family val="2"/>
    </font>
    <font>
      <sz val="20"/>
      <color theme="1"/>
      <name val="Arial Narrow"/>
      <family val="2"/>
    </font>
    <font>
      <sz val="20"/>
      <color theme="0"/>
      <name val="Arial Narrow"/>
      <family val="2"/>
    </font>
    <font>
      <b/>
      <sz val="20"/>
      <color theme="0"/>
      <name val="Arial Narrow"/>
      <family val="2"/>
    </font>
    <font>
      <b/>
      <sz val="14"/>
      <color theme="0"/>
      <name val="Arial Narrow"/>
      <family val="2"/>
    </font>
    <font>
      <b/>
      <sz val="20"/>
      <color theme="0"/>
      <name val="Arial"/>
      <family val="2"/>
    </font>
    <font>
      <b/>
      <u/>
      <sz val="12"/>
      <color theme="0"/>
      <name val="Arial"/>
      <family val="2"/>
    </font>
    <font>
      <sz val="18"/>
      <color theme="1"/>
      <name val="Arial"/>
      <family val="2"/>
    </font>
    <font>
      <sz val="11"/>
      <color rgb="FFFF0000"/>
      <name val="Arial Narrow"/>
      <family val="2"/>
    </font>
    <font>
      <b/>
      <sz val="11"/>
      <color rgb="FFFF0000"/>
      <name val="Arial Narrow"/>
      <family val="2"/>
    </font>
    <font>
      <sz val="25"/>
      <color theme="1"/>
      <name val="Arial"/>
      <family val="2"/>
    </font>
    <font>
      <sz val="16"/>
      <color theme="1"/>
      <name val="Arial"/>
      <family val="2"/>
    </font>
    <font>
      <sz val="14"/>
      <name val="Arial"/>
      <family val="2"/>
    </font>
    <font>
      <sz val="14"/>
      <color theme="1"/>
      <name val="Arial"/>
      <family val="2"/>
    </font>
  </fonts>
  <fills count="2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indexed="51"/>
        <bgColor indexed="64"/>
      </patternFill>
    </fill>
    <fill>
      <patternFill patternType="solid">
        <fgColor rgb="FF83A343"/>
        <bgColor indexed="64"/>
      </patternFill>
    </fill>
    <fill>
      <patternFill patternType="solid">
        <fgColor rgb="FFFFCC00"/>
        <bgColor indexed="64"/>
      </patternFill>
    </fill>
    <fill>
      <patternFill patternType="solid">
        <fgColor theme="7" tint="-0.249977111117893"/>
        <bgColor indexed="64"/>
      </patternFill>
    </fill>
    <fill>
      <patternFill patternType="solid">
        <fgColor rgb="FF2E3917"/>
        <bgColor indexed="64"/>
      </patternFill>
    </fill>
    <fill>
      <patternFill patternType="lightTrellis">
        <fgColor theme="0" tint="-0.14996795556505021"/>
        <bgColor theme="0"/>
      </patternFill>
    </fill>
    <fill>
      <patternFill patternType="solid">
        <fgColor theme="4" tint="0.79998168889431442"/>
        <bgColor indexed="64"/>
      </patternFill>
    </fill>
    <fill>
      <patternFill patternType="solid">
        <fgColor theme="6" tint="-0.499984740745262"/>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2" tint="-0.249977111117893"/>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auto="1"/>
      </top>
      <bottom/>
      <diagonal/>
    </border>
    <border>
      <left style="hair">
        <color auto="1"/>
      </left>
      <right/>
      <top style="hair">
        <color auto="1"/>
      </top>
      <bottom style="hair">
        <color auto="1"/>
      </bottom>
      <diagonal/>
    </border>
    <border>
      <left style="double">
        <color indexed="64"/>
      </left>
      <right/>
      <top style="double">
        <color indexed="64"/>
      </top>
      <bottom/>
      <diagonal/>
    </border>
    <border>
      <left/>
      <right style="thin">
        <color theme="0"/>
      </right>
      <top style="double">
        <color indexed="64"/>
      </top>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double">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style="hair">
        <color rgb="FF81829A"/>
      </left>
      <right style="hair">
        <color rgb="FF81829A"/>
      </right>
      <top style="hair">
        <color rgb="FF81829A"/>
      </top>
      <bottom style="hair">
        <color rgb="FF81829A"/>
      </bottom>
      <diagonal/>
    </border>
    <border>
      <left style="thin">
        <color rgb="FF81829A"/>
      </left>
      <right style="thin">
        <color rgb="FF81829A"/>
      </right>
      <top style="thin">
        <color rgb="FF81829A"/>
      </top>
      <bottom style="thin">
        <color rgb="FF81829A"/>
      </bottom>
      <diagonal/>
    </border>
    <border>
      <left style="hair">
        <color rgb="FF81829A"/>
      </left>
      <right/>
      <top style="hair">
        <color rgb="FF81829A"/>
      </top>
      <bottom style="thin">
        <color rgb="FF81829A"/>
      </bottom>
      <diagonal/>
    </border>
    <border>
      <left/>
      <right style="hair">
        <color rgb="FF81829A"/>
      </right>
      <top style="hair">
        <color rgb="FF81829A"/>
      </top>
      <bottom style="hair">
        <color rgb="FF81829A"/>
      </bottom>
      <diagonal/>
    </border>
    <border>
      <left/>
      <right style="hair">
        <color rgb="FF81829A"/>
      </right>
      <top style="hair">
        <color rgb="FF81829A"/>
      </top>
      <bottom style="thin">
        <color rgb="FF81829A"/>
      </bottom>
      <diagonal/>
    </border>
    <border>
      <left style="thin">
        <color rgb="FF81829A"/>
      </left>
      <right/>
      <top style="hair">
        <color rgb="FF81829A"/>
      </top>
      <bottom style="hair">
        <color rgb="FF81829A"/>
      </bottom>
      <diagonal/>
    </border>
    <border>
      <left style="thin">
        <color rgb="FF81829A"/>
      </left>
      <right/>
      <top style="hair">
        <color rgb="FF81829A"/>
      </top>
      <bottom style="thin">
        <color rgb="FF81829A"/>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indexed="64"/>
      </left>
      <right style="hair">
        <color indexed="64"/>
      </right>
      <top style="hair">
        <color indexed="64"/>
      </top>
      <bottom/>
      <diagonal/>
    </border>
    <border>
      <left style="double">
        <color indexed="64"/>
      </left>
      <right style="hair">
        <color indexed="64"/>
      </right>
      <top/>
      <bottom/>
      <diagonal/>
    </border>
    <border>
      <left style="thin">
        <color indexed="64"/>
      </left>
      <right style="thin">
        <color indexed="64"/>
      </right>
      <top style="medium">
        <color indexed="64"/>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theme="0"/>
      </left>
      <right style="thin">
        <color theme="0"/>
      </right>
      <top/>
      <bottom style="thin">
        <color theme="0"/>
      </bottom>
      <diagonal/>
    </border>
    <border>
      <left style="dashed">
        <color indexed="64"/>
      </left>
      <right style="dashed">
        <color indexed="64"/>
      </right>
      <top style="dashed">
        <color indexed="64"/>
      </top>
      <bottom style="dashed">
        <color indexed="64"/>
      </bottom>
      <diagonal/>
    </border>
    <border>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ed">
        <color indexed="64"/>
      </top>
      <bottom/>
      <diagonal/>
    </border>
    <border>
      <left style="dotted">
        <color indexed="64"/>
      </left>
      <right/>
      <top style="medium">
        <color indexed="64"/>
      </top>
      <bottom style="dotted">
        <color indexed="64"/>
      </bottom>
      <diagonal/>
    </border>
    <border>
      <left style="dotted">
        <color indexed="64"/>
      </left>
      <right/>
      <top/>
      <bottom style="dotted">
        <color indexed="64"/>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medium">
        <color indexed="64"/>
      </bottom>
      <diagonal/>
    </border>
    <border>
      <left style="hair">
        <color indexed="64"/>
      </left>
      <right/>
      <top/>
      <bottom style="hair">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right style="hair">
        <color indexed="64"/>
      </right>
      <top/>
      <bottom style="hair">
        <color indexed="64"/>
      </bottom>
      <diagonal/>
    </border>
  </borders>
  <cellStyleXfs count="7">
    <xf numFmtId="0" fontId="0" fillId="0" borderId="0"/>
    <xf numFmtId="0" fontId="2" fillId="4" borderId="0"/>
    <xf numFmtId="0" fontId="3" fillId="0" borderId="0" applyNumberFormat="0" applyFill="0" applyBorder="0" applyAlignment="0" applyProtection="0">
      <alignment vertical="top"/>
      <protection locked="0"/>
    </xf>
    <xf numFmtId="0" fontId="8" fillId="0" borderId="0"/>
    <xf numFmtId="0" fontId="4" fillId="0" borderId="0"/>
    <xf numFmtId="0" fontId="10" fillId="0" borderId="0"/>
    <xf numFmtId="9" fontId="39" fillId="0" borderId="0" applyFont="0" applyFill="0" applyBorder="0" applyAlignment="0" applyProtection="0"/>
  </cellStyleXfs>
  <cellXfs count="645">
    <xf numFmtId="0" fontId="0" fillId="0" borderId="0" xfId="0"/>
    <xf numFmtId="0" fontId="7" fillId="0" borderId="0" xfId="0" applyFont="1" applyAlignment="1">
      <alignment horizontal="center" vertical="center" wrapText="1"/>
    </xf>
    <xf numFmtId="0" fontId="11" fillId="0" borderId="0" xfId="4" applyFont="1"/>
    <xf numFmtId="0" fontId="11" fillId="0" borderId="32" xfId="4" applyFont="1" applyBorder="1"/>
    <xf numFmtId="0" fontId="14" fillId="0" borderId="0" xfId="4" applyFont="1" applyAlignment="1">
      <alignment horizontal="left" vertical="center" wrapText="1"/>
    </xf>
    <xf numFmtId="0" fontId="11" fillId="0" borderId="0" xfId="4" applyFont="1" applyAlignment="1">
      <alignment horizontal="left" vertical="center" wrapText="1"/>
    </xf>
    <xf numFmtId="0" fontId="11" fillId="0" borderId="0" xfId="4" quotePrefix="1"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alignment horizontal="left" vertical="top" wrapText="1"/>
    </xf>
    <xf numFmtId="0" fontId="16" fillId="0" borderId="0" xfId="5" applyFont="1" applyAlignment="1">
      <alignment horizontal="left" vertical="top" wrapText="1" readingOrder="1"/>
    </xf>
    <xf numFmtId="0" fontId="21" fillId="2" borderId="0" xfId="0" applyFont="1" applyFill="1"/>
    <xf numFmtId="1" fontId="21" fillId="2" borderId="0" xfId="0" applyNumberFormat="1" applyFont="1" applyFill="1" applyAlignment="1">
      <alignment horizontal="center" vertical="center"/>
    </xf>
    <xf numFmtId="0" fontId="21" fillId="2" borderId="0" xfId="0" applyFont="1" applyFill="1" applyAlignment="1">
      <alignment horizontal="justify" vertical="center" wrapText="1"/>
    </xf>
    <xf numFmtId="0" fontId="16" fillId="2" borderId="12" xfId="0" applyFont="1" applyFill="1" applyBorder="1" applyAlignment="1">
      <alignment vertical="center"/>
    </xf>
    <xf numFmtId="0" fontId="23" fillId="2" borderId="0" xfId="2" applyFont="1" applyFill="1" applyAlignment="1" applyProtection="1">
      <alignment horizontal="center" vertical="center"/>
    </xf>
    <xf numFmtId="0" fontId="24" fillId="2" borderId="0" xfId="0" applyFont="1" applyFill="1" applyAlignment="1">
      <alignment horizontal="center" vertical="center"/>
    </xf>
    <xf numFmtId="0" fontId="24" fillId="0" borderId="0" xfId="0" applyFont="1" applyAlignment="1" applyProtection="1">
      <alignment vertical="center" wrapText="1"/>
      <protection locked="0"/>
    </xf>
    <xf numFmtId="0" fontId="21" fillId="0" borderId="0" xfId="0" applyFont="1"/>
    <xf numFmtId="0" fontId="21" fillId="0" borderId="10" xfId="0" applyFont="1" applyBorder="1" applyAlignment="1">
      <alignment horizontal="left" vertical="center" wrapText="1"/>
    </xf>
    <xf numFmtId="0" fontId="21" fillId="0" borderId="29"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vertical="center"/>
    </xf>
    <xf numFmtId="0" fontId="28" fillId="12" borderId="30" xfId="0" applyFont="1" applyFill="1" applyBorder="1" applyAlignment="1">
      <alignment horizontal="center" vertical="center" wrapText="1"/>
    </xf>
    <xf numFmtId="0" fontId="28" fillId="12" borderId="31" xfId="0" applyFont="1" applyFill="1" applyBorder="1" applyAlignment="1">
      <alignment horizontal="center" vertical="center" wrapText="1"/>
    </xf>
    <xf numFmtId="0" fontId="0" fillId="2" borderId="54" xfId="0" applyFill="1" applyBorder="1"/>
    <xf numFmtId="0" fontId="0" fillId="2" borderId="55" xfId="0" applyFill="1" applyBorder="1"/>
    <xf numFmtId="0" fontId="0" fillId="2" borderId="56" xfId="0" applyFill="1" applyBorder="1"/>
    <xf numFmtId="0" fontId="0" fillId="2" borderId="57" xfId="0" applyFill="1" applyBorder="1"/>
    <xf numFmtId="0" fontId="0" fillId="2" borderId="0" xfId="0" applyFill="1"/>
    <xf numFmtId="0" fontId="0" fillId="2" borderId="58" xfId="0" applyFill="1" applyBorder="1"/>
    <xf numFmtId="0" fontId="7" fillId="2" borderId="32" xfId="0" applyFont="1" applyFill="1" applyBorder="1" applyAlignment="1">
      <alignment horizontal="center" vertical="center"/>
    </xf>
    <xf numFmtId="0" fontId="7" fillId="2" borderId="0" xfId="0" applyFont="1" applyFill="1" applyAlignment="1">
      <alignment horizontal="center" vertical="center"/>
    </xf>
    <xf numFmtId="0" fontId="1" fillId="2" borderId="0" xfId="0" applyFont="1" applyFill="1" applyAlignment="1">
      <alignment wrapText="1"/>
    </xf>
    <xf numFmtId="0" fontId="18" fillId="2" borderId="12" xfId="0" applyFont="1" applyFill="1" applyBorder="1" applyAlignment="1">
      <alignment vertical="center" wrapText="1"/>
    </xf>
    <xf numFmtId="1" fontId="30" fillId="2" borderId="0" xfId="3" applyNumberFormat="1" applyFont="1" applyFill="1" applyAlignment="1" applyProtection="1">
      <alignment vertical="center"/>
      <protection locked="0"/>
    </xf>
    <xf numFmtId="49" fontId="30" fillId="2" borderId="0" xfId="3" applyNumberFormat="1" applyFont="1" applyFill="1" applyAlignment="1" applyProtection="1">
      <alignment vertical="center"/>
      <protection locked="0"/>
    </xf>
    <xf numFmtId="0" fontId="30" fillId="2" borderId="0" xfId="3" applyFont="1" applyFill="1" applyAlignment="1" applyProtection="1">
      <alignment vertical="center"/>
      <protection locked="0"/>
    </xf>
    <xf numFmtId="0" fontId="31" fillId="2" borderId="0" xfId="0" applyFont="1" applyFill="1" applyAlignment="1" applyProtection="1">
      <alignment vertical="center" wrapText="1"/>
      <protection locked="0"/>
    </xf>
    <xf numFmtId="0" fontId="30" fillId="2" borderId="0" xfId="0" applyFont="1" applyFill="1"/>
    <xf numFmtId="0" fontId="25" fillId="2" borderId="0" xfId="0" applyFont="1" applyFill="1"/>
    <xf numFmtId="0" fontId="30" fillId="2" borderId="1" xfId="3" applyFont="1" applyFill="1" applyBorder="1" applyAlignment="1" applyProtection="1">
      <alignment vertical="center"/>
      <protection locked="0"/>
    </xf>
    <xf numFmtId="0" fontId="38" fillId="2" borderId="0" xfId="0" applyFont="1" applyFill="1" applyAlignment="1">
      <alignment horizontal="center" vertical="center" wrapText="1"/>
    </xf>
    <xf numFmtId="0" fontId="25" fillId="2" borderId="0" xfId="0" applyFont="1" applyFill="1" applyAlignment="1">
      <alignment vertical="center"/>
    </xf>
    <xf numFmtId="0" fontId="38" fillId="2" borderId="0" xfId="0" applyFont="1" applyFill="1"/>
    <xf numFmtId="0" fontId="37" fillId="2" borderId="0" xfId="0" applyFont="1" applyFill="1" applyAlignment="1">
      <alignment wrapText="1"/>
    </xf>
    <xf numFmtId="49" fontId="0" fillId="2" borderId="0" xfId="0" applyNumberFormat="1" applyFill="1" applyAlignment="1">
      <alignment horizontal="left" vertical="top" wrapText="1"/>
    </xf>
    <xf numFmtId="0" fontId="0" fillId="0" borderId="88" xfId="0" applyBorder="1"/>
    <xf numFmtId="0" fontId="6" fillId="17" borderId="48" xfId="0" applyFont="1" applyFill="1" applyBorder="1" applyAlignment="1">
      <alignment horizontal="center" vertical="center" wrapText="1"/>
    </xf>
    <xf numFmtId="0" fontId="42" fillId="2" borderId="0" xfId="0" applyFont="1" applyFill="1" applyAlignment="1">
      <alignment horizontal="center" vertical="center"/>
    </xf>
    <xf numFmtId="0" fontId="40" fillId="2" borderId="0" xfId="0" applyFont="1" applyFill="1" applyAlignment="1">
      <alignment horizontal="center" vertical="center"/>
    </xf>
    <xf numFmtId="0" fontId="11" fillId="0" borderId="0" xfId="4" applyFont="1" applyAlignment="1">
      <alignment vertical="top" wrapText="1"/>
    </xf>
    <xf numFmtId="0" fontId="11" fillId="0" borderId="119" xfId="4" applyFont="1" applyBorder="1"/>
    <xf numFmtId="0" fontId="11" fillId="0" borderId="120" xfId="4" applyFont="1" applyBorder="1"/>
    <xf numFmtId="0" fontId="11" fillId="0" borderId="121" xfId="4" applyFont="1" applyBorder="1"/>
    <xf numFmtId="0" fontId="11" fillId="0" borderId="122" xfId="4" applyFont="1" applyBorder="1"/>
    <xf numFmtId="0" fontId="11" fillId="0" borderId="119" xfId="4" applyFont="1" applyBorder="1" applyAlignment="1">
      <alignment vertical="top" wrapText="1"/>
    </xf>
    <xf numFmtId="0" fontId="11" fillId="0" borderId="120" xfId="4" applyFont="1" applyBorder="1" applyAlignment="1">
      <alignment vertical="top" wrapText="1"/>
    </xf>
    <xf numFmtId="0" fontId="11" fillId="0" borderId="123" xfId="4" applyFont="1" applyBorder="1"/>
    <xf numFmtId="0" fontId="11" fillId="0" borderId="124" xfId="4" applyFont="1" applyBorder="1"/>
    <xf numFmtId="0" fontId="11" fillId="0" borderId="125" xfId="4" applyFont="1" applyBorder="1"/>
    <xf numFmtId="0" fontId="30" fillId="2" borderId="4" xfId="3" applyFont="1" applyFill="1" applyBorder="1" applyAlignment="1" applyProtection="1">
      <alignment vertical="center"/>
      <protection locked="0"/>
    </xf>
    <xf numFmtId="0" fontId="24" fillId="3" borderId="0" xfId="0" applyFont="1" applyFill="1" applyAlignment="1">
      <alignment horizontal="center" vertical="center" wrapText="1"/>
    </xf>
    <xf numFmtId="0" fontId="30" fillId="0" borderId="1" xfId="3" applyFont="1" applyBorder="1" applyAlignment="1" applyProtection="1">
      <alignment vertical="center"/>
      <protection locked="0"/>
    </xf>
    <xf numFmtId="0" fontId="35" fillId="0" borderId="0" xfId="3" applyFont="1" applyAlignment="1" applyProtection="1">
      <alignment vertical="center"/>
      <protection locked="0"/>
    </xf>
    <xf numFmtId="0" fontId="31" fillId="0" borderId="0" xfId="0" applyFont="1" applyAlignment="1" applyProtection="1">
      <alignment vertical="center" wrapText="1"/>
      <protection locked="0"/>
    </xf>
    <xf numFmtId="0" fontId="35" fillId="0" borderId="0" xfId="0" applyFont="1"/>
    <xf numFmtId="0" fontId="30" fillId="0" borderId="3" xfId="3" applyFont="1" applyBorder="1" applyAlignment="1" applyProtection="1">
      <alignment vertical="center"/>
      <protection locked="0"/>
    </xf>
    <xf numFmtId="2" fontId="25" fillId="2" borderId="0" xfId="0" applyNumberFormat="1" applyFont="1" applyFill="1"/>
    <xf numFmtId="0" fontId="25" fillId="0" borderId="0" xfId="0" applyFont="1"/>
    <xf numFmtId="2" fontId="25" fillId="0" borderId="0" xfId="0" applyNumberFormat="1" applyFont="1"/>
    <xf numFmtId="167" fontId="25" fillId="0" borderId="0" xfId="0" applyNumberFormat="1" applyFont="1"/>
    <xf numFmtId="0" fontId="19" fillId="0" borderId="13" xfId="0" applyFont="1" applyBorder="1" applyAlignment="1">
      <alignment horizontal="left" vertical="center" wrapText="1"/>
    </xf>
    <xf numFmtId="0" fontId="22" fillId="0" borderId="8" xfId="0" applyFont="1" applyBorder="1" applyAlignment="1">
      <alignment horizontal="center" vertical="center" wrapText="1"/>
    </xf>
    <xf numFmtId="0" fontId="15" fillId="0" borderId="28" xfId="0" applyFont="1" applyBorder="1" applyAlignment="1">
      <alignment horizontal="center" vertical="center" wrapText="1"/>
    </xf>
    <xf numFmtId="0" fontId="22"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44" fillId="16" borderId="1" xfId="3" applyFont="1" applyFill="1" applyBorder="1" applyAlignment="1" applyProtection="1">
      <alignment horizontal="center" vertical="center" wrapText="1"/>
      <protection locked="0"/>
    </xf>
    <xf numFmtId="0" fontId="44" fillId="15" borderId="1" xfId="3" applyFont="1" applyFill="1" applyBorder="1" applyAlignment="1" applyProtection="1">
      <alignment horizontal="center" vertical="center" wrapText="1"/>
      <protection locked="0"/>
    </xf>
    <xf numFmtId="0" fontId="44" fillId="14" borderId="1" xfId="3" applyFont="1" applyFill="1" applyBorder="1" applyAlignment="1" applyProtection="1">
      <alignment horizontal="center" vertical="center" wrapText="1"/>
      <protection locked="0"/>
    </xf>
    <xf numFmtId="0" fontId="44" fillId="13" borderId="1" xfId="3" applyFont="1" applyFill="1" applyBorder="1" applyAlignment="1" applyProtection="1">
      <alignment horizontal="center" vertical="center" wrapText="1"/>
      <protection locked="0"/>
    </xf>
    <xf numFmtId="0" fontId="19" fillId="2" borderId="0" xfId="0" applyFont="1" applyFill="1"/>
    <xf numFmtId="1" fontId="46" fillId="2" borderId="0" xfId="3" applyNumberFormat="1" applyFont="1" applyFill="1" applyAlignment="1" applyProtection="1">
      <alignment vertical="center"/>
      <protection locked="0"/>
    </xf>
    <xf numFmtId="49" fontId="46" fillId="2" borderId="0" xfId="3" applyNumberFormat="1" applyFont="1" applyFill="1" applyAlignment="1" applyProtection="1">
      <alignment vertical="center"/>
      <protection locked="0"/>
    </xf>
    <xf numFmtId="0" fontId="46" fillId="2" borderId="0" xfId="3" applyFont="1" applyFill="1" applyAlignment="1" applyProtection="1">
      <alignment vertical="center"/>
      <protection locked="0"/>
    </xf>
    <xf numFmtId="0" fontId="47" fillId="0" borderId="0" xfId="3" applyFont="1" applyAlignment="1" applyProtection="1">
      <alignment vertical="center"/>
      <protection locked="0"/>
    </xf>
    <xf numFmtId="0" fontId="30" fillId="2" borderId="140" xfId="3" applyFont="1" applyFill="1" applyBorder="1" applyAlignment="1" applyProtection="1">
      <alignment vertical="center"/>
      <protection locked="0"/>
    </xf>
    <xf numFmtId="0" fontId="30" fillId="2" borderId="3" xfId="3" applyFont="1" applyFill="1" applyBorder="1" applyAlignment="1" applyProtection="1">
      <alignment vertical="center"/>
      <protection locked="0"/>
    </xf>
    <xf numFmtId="0" fontId="15" fillId="19" borderId="1" xfId="0" applyFont="1" applyFill="1" applyBorder="1" applyAlignment="1">
      <alignment horizontal="center" vertical="center"/>
    </xf>
    <xf numFmtId="0" fontId="19" fillId="19" borderId="1" xfId="0" applyFont="1" applyFill="1" applyBorder="1" applyAlignment="1">
      <alignment horizontal="center" vertical="center"/>
    </xf>
    <xf numFmtId="0" fontId="6" fillId="17" borderId="97" xfId="0" applyFont="1" applyFill="1" applyBorder="1" applyAlignment="1">
      <alignment horizontal="center" vertical="center" wrapText="1"/>
    </xf>
    <xf numFmtId="0" fontId="6" fillId="3" borderId="87" xfId="0" applyFont="1" applyFill="1" applyBorder="1" applyAlignment="1">
      <alignment horizontal="center" vertical="center" wrapText="1"/>
    </xf>
    <xf numFmtId="0" fontId="6" fillId="3" borderId="97" xfId="0" applyFont="1" applyFill="1" applyBorder="1" applyAlignment="1">
      <alignment horizontal="center" vertical="center" wrapText="1"/>
    </xf>
    <xf numFmtId="0" fontId="6" fillId="3" borderId="0" xfId="0" applyFont="1" applyFill="1" applyAlignment="1">
      <alignment horizontal="center" vertical="center" wrapText="1"/>
    </xf>
    <xf numFmtId="0" fontId="40" fillId="17" borderId="48" xfId="0" applyFont="1" applyFill="1" applyBorder="1" applyAlignment="1">
      <alignment horizontal="center" vertical="center" wrapText="1"/>
    </xf>
    <xf numFmtId="0" fontId="52" fillId="0" borderId="0" xfId="0" applyFont="1" applyAlignment="1">
      <alignment horizontal="center" wrapText="1"/>
    </xf>
    <xf numFmtId="0" fontId="40" fillId="6"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40" fillId="11" borderId="1" xfId="0" applyFont="1" applyFill="1" applyBorder="1" applyAlignment="1">
      <alignment horizontal="center" vertical="center" wrapText="1"/>
    </xf>
    <xf numFmtId="0" fontId="48" fillId="3" borderId="1" xfId="0" applyFont="1" applyFill="1" applyBorder="1" applyAlignment="1">
      <alignment horizontal="center" vertical="center"/>
    </xf>
    <xf numFmtId="2" fontId="53" fillId="2" borderId="0" xfId="0" applyNumberFormat="1" applyFont="1" applyFill="1"/>
    <xf numFmtId="2" fontId="53" fillId="0" borderId="0" xfId="0" applyNumberFormat="1" applyFont="1"/>
    <xf numFmtId="0" fontId="53" fillId="2" borderId="0" xfId="0" applyFont="1" applyFill="1"/>
    <xf numFmtId="0" fontId="22" fillId="2" borderId="106" xfId="0" applyFont="1" applyFill="1" applyBorder="1" applyAlignment="1" applyProtection="1">
      <alignment horizontal="center" vertical="center"/>
      <protection locked="0"/>
    </xf>
    <xf numFmtId="0" fontId="22" fillId="2" borderId="12" xfId="0" applyFont="1" applyFill="1" applyBorder="1" applyAlignment="1" applyProtection="1">
      <alignment horizontal="center" vertical="center"/>
      <protection locked="0"/>
    </xf>
    <xf numFmtId="0" fontId="21" fillId="2" borderId="105" xfId="0" applyFont="1" applyFill="1" applyBorder="1" applyAlignment="1" applyProtection="1">
      <alignment horizontal="center" vertical="center" wrapText="1"/>
      <protection locked="0"/>
    </xf>
    <xf numFmtId="0" fontId="21" fillId="2" borderId="105" xfId="0" applyFont="1" applyFill="1" applyBorder="1" applyAlignment="1" applyProtection="1">
      <alignment horizontal="center" vertical="center"/>
      <protection locked="0"/>
    </xf>
    <xf numFmtId="0" fontId="22" fillId="2" borderId="109" xfId="0" applyFont="1" applyFill="1" applyBorder="1" applyAlignment="1" applyProtection="1">
      <alignment horizontal="center" vertical="center"/>
      <protection locked="0"/>
    </xf>
    <xf numFmtId="0" fontId="22" fillId="2" borderId="19" xfId="0" applyFont="1" applyFill="1" applyBorder="1" applyAlignment="1" applyProtection="1">
      <alignment horizontal="center" vertical="center"/>
      <protection locked="0"/>
    </xf>
    <xf numFmtId="0" fontId="22" fillId="2" borderId="17" xfId="0" applyFont="1" applyFill="1" applyBorder="1" applyAlignment="1" applyProtection="1">
      <alignment horizontal="center" vertical="center"/>
      <protection locked="0"/>
    </xf>
    <xf numFmtId="9" fontId="22" fillId="0" borderId="3" xfId="6" applyFont="1" applyFill="1" applyBorder="1" applyAlignment="1" applyProtection="1">
      <alignment horizontal="center" vertical="center"/>
      <protection hidden="1"/>
    </xf>
    <xf numFmtId="9" fontId="22" fillId="0" borderId="1" xfId="6" applyFont="1" applyFill="1" applyBorder="1" applyAlignment="1" applyProtection="1">
      <alignment horizontal="center" vertical="center"/>
      <protection hidden="1"/>
    </xf>
    <xf numFmtId="0" fontId="21" fillId="2" borderId="81" xfId="3" applyFont="1" applyFill="1" applyBorder="1" applyAlignment="1" applyProtection="1">
      <alignment horizontal="center" vertical="center" wrapText="1"/>
      <protection hidden="1"/>
    </xf>
    <xf numFmtId="1" fontId="21" fillId="2" borderId="83" xfId="3" applyNumberFormat="1" applyFont="1" applyFill="1" applyBorder="1" applyAlignment="1" applyProtection="1">
      <alignment horizontal="center" vertical="center" wrapText="1"/>
      <protection hidden="1"/>
    </xf>
    <xf numFmtId="0" fontId="21" fillId="2" borderId="83" xfId="3" applyFont="1" applyFill="1" applyBorder="1" applyAlignment="1" applyProtection="1">
      <alignment horizontal="center" vertical="center" wrapText="1"/>
      <protection hidden="1"/>
    </xf>
    <xf numFmtId="1" fontId="21" fillId="2" borderId="85" xfId="3" applyNumberFormat="1" applyFont="1" applyFill="1" applyBorder="1" applyAlignment="1" applyProtection="1">
      <alignment horizontal="center" vertical="center" wrapText="1"/>
      <protection hidden="1"/>
    </xf>
    <xf numFmtId="0" fontId="32" fillId="3" borderId="19" xfId="3" applyFont="1" applyFill="1" applyBorder="1" applyAlignment="1">
      <alignment horizontal="center" vertical="center"/>
    </xf>
    <xf numFmtId="0" fontId="32" fillId="3" borderId="12" xfId="3" applyFont="1" applyFill="1" applyBorder="1" applyAlignment="1">
      <alignment horizontal="center" vertical="center" wrapText="1"/>
    </xf>
    <xf numFmtId="0" fontId="33" fillId="18" borderId="69" xfId="3" applyFont="1" applyFill="1" applyBorder="1" applyAlignment="1">
      <alignment horizontal="center" vertical="center"/>
    </xf>
    <xf numFmtId="0" fontId="33" fillId="18" borderId="139" xfId="3" applyFont="1" applyFill="1" applyBorder="1" applyAlignment="1">
      <alignment horizontal="center" vertical="center"/>
    </xf>
    <xf numFmtId="0" fontId="30" fillId="2" borderId="0" xfId="3" applyFont="1" applyFill="1" applyAlignment="1" applyProtection="1">
      <alignment vertical="center"/>
      <protection hidden="1"/>
    </xf>
    <xf numFmtId="9" fontId="11" fillId="2" borderId="0" xfId="3" applyNumberFormat="1" applyFont="1" applyFill="1" applyAlignment="1" applyProtection="1">
      <alignment vertical="center"/>
      <protection hidden="1"/>
    </xf>
    <xf numFmtId="9" fontId="35" fillId="2" borderId="0" xfId="6" applyFont="1" applyFill="1" applyAlignment="1" applyProtection="1">
      <alignment vertical="center"/>
      <protection hidden="1"/>
    </xf>
    <xf numFmtId="9" fontId="35" fillId="2" borderId="0" xfId="3" applyNumberFormat="1" applyFont="1" applyFill="1" applyAlignment="1" applyProtection="1">
      <alignment vertical="center"/>
      <protection hidden="1"/>
    </xf>
    <xf numFmtId="0" fontId="11" fillId="2" borderId="0" xfId="3" applyFont="1" applyFill="1" applyAlignment="1" applyProtection="1">
      <alignment vertical="center"/>
      <protection hidden="1"/>
    </xf>
    <xf numFmtId="9" fontId="50" fillId="3" borderId="97" xfId="0" applyNumberFormat="1" applyFont="1" applyFill="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49" fontId="55" fillId="2" borderId="47" xfId="0" applyNumberFormat="1" applyFont="1" applyFill="1" applyBorder="1" applyAlignment="1" applyProtection="1">
      <alignment horizontal="center" vertical="center" wrapText="1"/>
      <protection locked="0"/>
    </xf>
    <xf numFmtId="0" fontId="15" fillId="0" borderId="0" xfId="3" applyFont="1" applyAlignment="1" applyProtection="1">
      <alignment vertical="center"/>
      <protection hidden="1"/>
    </xf>
    <xf numFmtId="0" fontId="19" fillId="0" borderId="0" xfId="3" applyFont="1" applyAlignment="1" applyProtection="1">
      <alignment vertical="center" wrapText="1"/>
      <protection hidden="1"/>
    </xf>
    <xf numFmtId="0" fontId="0" fillId="0" borderId="0" xfId="0" applyProtection="1">
      <protection hidden="1"/>
    </xf>
    <xf numFmtId="0" fontId="15" fillId="0" borderId="0" xfId="3" applyFont="1" applyAlignment="1" applyProtection="1">
      <alignment vertical="center" wrapText="1"/>
      <protection hidden="1"/>
    </xf>
    <xf numFmtId="0" fontId="34" fillId="0" borderId="0" xfId="0" applyFont="1" applyProtection="1">
      <protection hidden="1"/>
    </xf>
    <xf numFmtId="0" fontId="11" fillId="0" borderId="119" xfId="4" applyFont="1" applyBorder="1" applyAlignment="1">
      <alignment horizontal="left" vertical="top"/>
    </xf>
    <xf numFmtId="0" fontId="11" fillId="0" borderId="120" xfId="4" applyFont="1" applyBorder="1" applyAlignment="1">
      <alignment horizontal="left" vertical="top"/>
    </xf>
    <xf numFmtId="0" fontId="15" fillId="10" borderId="1" xfId="3" applyFont="1" applyFill="1" applyBorder="1" applyAlignment="1" applyProtection="1">
      <alignment horizontal="center" vertical="center" wrapText="1"/>
      <protection locked="0"/>
    </xf>
    <xf numFmtId="0" fontId="21" fillId="2" borderId="22" xfId="0" applyFont="1" applyFill="1" applyBorder="1" applyAlignment="1" applyProtection="1">
      <alignment horizontal="center" vertical="center"/>
      <protection locked="0"/>
    </xf>
    <xf numFmtId="0" fontId="21" fillId="2" borderId="23" xfId="0" applyFont="1" applyFill="1" applyBorder="1" applyAlignment="1" applyProtection="1">
      <alignment horizontal="center" vertical="center"/>
      <protection locked="0"/>
    </xf>
    <xf numFmtId="0" fontId="21" fillId="2" borderId="24"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0" xfId="0" applyFont="1" applyFill="1" applyAlignment="1">
      <alignment horizontal="center"/>
    </xf>
    <xf numFmtId="164" fontId="21" fillId="2" borderId="0" xfId="0" applyNumberFormat="1" applyFont="1" applyFill="1" applyAlignment="1">
      <alignment horizontal="center"/>
    </xf>
    <xf numFmtId="0" fontId="15" fillId="19"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1" fillId="2" borderId="17" xfId="0" applyFont="1" applyFill="1" applyBorder="1" applyAlignment="1" applyProtection="1">
      <alignment horizontal="center" vertical="center" wrapText="1"/>
      <protection locked="0"/>
    </xf>
    <xf numFmtId="0" fontId="21" fillId="2" borderId="12" xfId="0" applyFont="1" applyFill="1" applyBorder="1" applyAlignment="1" applyProtection="1">
      <alignment horizontal="center" vertical="center" wrapText="1"/>
      <protection locked="0"/>
    </xf>
    <xf numFmtId="0" fontId="21" fillId="2" borderId="22"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center" vertical="center"/>
      <protection locked="0"/>
    </xf>
    <xf numFmtId="0" fontId="21" fillId="2" borderId="106" xfId="0" applyFont="1" applyFill="1" applyBorder="1" applyAlignment="1" applyProtection="1">
      <alignment horizontal="center" vertical="center" wrapText="1"/>
      <protection locked="0"/>
    </xf>
    <xf numFmtId="0" fontId="21" fillId="2" borderId="23" xfId="0" applyFont="1" applyFill="1" applyBorder="1" applyAlignment="1" applyProtection="1">
      <alignment horizontal="center" vertical="center" wrapText="1"/>
      <protection locked="0"/>
    </xf>
    <xf numFmtId="0" fontId="21" fillId="2" borderId="24" xfId="0" applyFont="1" applyFill="1" applyBorder="1" applyAlignment="1" applyProtection="1">
      <alignment horizontal="center" vertical="center" wrapText="1"/>
      <protection locked="0"/>
    </xf>
    <xf numFmtId="0" fontId="29" fillId="2" borderId="82" xfId="3" applyFont="1" applyFill="1" applyBorder="1" applyAlignment="1" applyProtection="1">
      <alignment horizontal="center" vertical="center" wrapText="1"/>
      <protection hidden="1"/>
    </xf>
    <xf numFmtId="0" fontId="29" fillId="2" borderId="82" xfId="3" applyFont="1" applyFill="1" applyBorder="1" applyAlignment="1" applyProtection="1">
      <alignment horizontal="left" vertical="top" wrapText="1"/>
      <protection hidden="1"/>
    </xf>
    <xf numFmtId="1" fontId="29" fillId="2" borderId="82" xfId="3" applyNumberFormat="1" applyFont="1" applyFill="1" applyBorder="1" applyAlignment="1" applyProtection="1">
      <alignment horizontal="center" vertical="center" wrapText="1"/>
      <protection hidden="1"/>
    </xf>
    <xf numFmtId="0" fontId="29" fillId="2" borderId="102" xfId="3" applyFont="1" applyFill="1" applyBorder="1" applyAlignment="1" applyProtection="1">
      <alignment horizontal="center" vertical="center" wrapText="1"/>
      <protection hidden="1"/>
    </xf>
    <xf numFmtId="0" fontId="29" fillId="2" borderId="130" xfId="3" applyFont="1" applyFill="1" applyBorder="1" applyAlignment="1" applyProtection="1">
      <alignment horizontal="center" vertical="center" wrapText="1"/>
      <protection hidden="1"/>
    </xf>
    <xf numFmtId="0" fontId="29" fillId="2" borderId="84" xfId="3" applyFont="1" applyFill="1" applyBorder="1" applyAlignment="1" applyProtection="1">
      <alignment horizontal="center" vertical="center" wrapText="1"/>
      <protection hidden="1"/>
    </xf>
    <xf numFmtId="0" fontId="29" fillId="2" borderId="84" xfId="3" applyFont="1" applyFill="1" applyBorder="1" applyAlignment="1" applyProtection="1">
      <alignment horizontal="left" vertical="top" wrapText="1"/>
      <protection hidden="1"/>
    </xf>
    <xf numFmtId="0" fontId="29" fillId="2" borderId="103" xfId="3" applyFont="1" applyFill="1" applyBorder="1" applyAlignment="1" applyProtection="1">
      <alignment horizontal="center" vertical="center" wrapText="1"/>
      <protection hidden="1"/>
    </xf>
    <xf numFmtId="0" fontId="29" fillId="2" borderId="84" xfId="3" applyFont="1" applyFill="1" applyBorder="1" applyAlignment="1">
      <alignment horizontal="center" vertical="center" wrapText="1"/>
    </xf>
    <xf numFmtId="0" fontId="29" fillId="2" borderId="86" xfId="3" applyFont="1" applyFill="1" applyBorder="1" applyAlignment="1" applyProtection="1">
      <alignment horizontal="center" vertical="center" wrapText="1"/>
      <protection hidden="1"/>
    </xf>
    <xf numFmtId="0" fontId="29" fillId="2" borderId="86" xfId="3" applyFont="1" applyFill="1" applyBorder="1" applyAlignment="1" applyProtection="1">
      <alignment horizontal="left" vertical="top" wrapText="1"/>
      <protection hidden="1"/>
    </xf>
    <xf numFmtId="0" fontId="29" fillId="2" borderId="131" xfId="3" applyFont="1" applyFill="1" applyBorder="1" applyAlignment="1" applyProtection="1">
      <alignment horizontal="center" vertical="center" wrapText="1"/>
      <protection hidden="1"/>
    </xf>
    <xf numFmtId="0" fontId="29" fillId="2" borderId="86" xfId="3" applyFont="1" applyFill="1" applyBorder="1" applyAlignment="1">
      <alignment horizontal="center" vertical="center" wrapText="1"/>
    </xf>
    <xf numFmtId="0" fontId="21" fillId="2" borderId="0" xfId="0" applyFont="1" applyFill="1" applyAlignment="1">
      <alignment horizontal="left"/>
    </xf>
    <xf numFmtId="0" fontId="21" fillId="2" borderId="0" xfId="0" applyFont="1" applyFill="1" applyAlignment="1">
      <alignment horizontal="left" vertical="center"/>
    </xf>
    <xf numFmtId="0" fontId="21" fillId="0" borderId="22"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1" fillId="0" borderId="105"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0" fillId="2" borderId="57" xfId="0" applyFill="1" applyBorder="1" applyAlignment="1">
      <alignment horizontal="justify" vertical="top"/>
    </xf>
    <xf numFmtId="0" fontId="6" fillId="0" borderId="0" xfId="0" applyFont="1" applyAlignment="1">
      <alignment horizontal="justify" vertical="top"/>
    </xf>
    <xf numFmtId="9" fontId="7" fillId="0" borderId="0" xfId="0" applyNumberFormat="1" applyFont="1" applyAlignment="1">
      <alignment horizontal="justify" vertical="top"/>
    </xf>
    <xf numFmtId="0" fontId="57" fillId="0" borderId="110" xfId="0" applyFont="1" applyBorder="1" applyAlignment="1" applyProtection="1">
      <alignment horizontal="justify" vertical="top" wrapText="1"/>
      <protection locked="0"/>
    </xf>
    <xf numFmtId="0" fontId="7" fillId="0" borderId="0" xfId="0" applyFont="1" applyAlignment="1">
      <alignment horizontal="justify" vertical="top"/>
    </xf>
    <xf numFmtId="0" fontId="7" fillId="0" borderId="73" xfId="0" applyFont="1" applyBorder="1" applyAlignment="1">
      <alignment horizontal="justify" vertical="top"/>
    </xf>
    <xf numFmtId="0" fontId="57" fillId="0" borderId="73" xfId="0" applyFont="1" applyBorder="1" applyAlignment="1" applyProtection="1">
      <alignment horizontal="justify" vertical="top" wrapText="1"/>
      <protection locked="0"/>
    </xf>
    <xf numFmtId="0" fontId="7" fillId="2" borderId="58" xfId="0" applyFont="1" applyFill="1" applyBorder="1" applyAlignment="1">
      <alignment horizontal="justify" vertical="top"/>
    </xf>
    <xf numFmtId="0" fontId="7" fillId="2" borderId="0" xfId="0" applyFont="1" applyFill="1" applyAlignment="1">
      <alignment horizontal="justify" vertical="top"/>
    </xf>
    <xf numFmtId="0" fontId="0" fillId="2" borderId="0" xfId="0" applyFill="1" applyAlignment="1">
      <alignment horizontal="justify" vertical="top"/>
    </xf>
    <xf numFmtId="0" fontId="52" fillId="0" borderId="0" xfId="0" applyFont="1" applyAlignment="1">
      <alignment horizontal="justify" vertical="top" wrapText="1"/>
    </xf>
    <xf numFmtId="0" fontId="0" fillId="0" borderId="0" xfId="0" applyAlignment="1">
      <alignment horizontal="justify" vertical="top"/>
    </xf>
    <xf numFmtId="0" fontId="0" fillId="0" borderId="1" xfId="0" applyBorder="1" applyAlignment="1">
      <alignment horizontal="justify" vertical="top"/>
    </xf>
    <xf numFmtId="0" fontId="0" fillId="0" borderId="110" xfId="0" applyBorder="1" applyAlignment="1">
      <alignment horizontal="justify" vertical="top"/>
    </xf>
    <xf numFmtId="0" fontId="0" fillId="0" borderId="88" xfId="0" applyBorder="1" applyAlignment="1">
      <alignment horizontal="justify" vertical="top"/>
    </xf>
    <xf numFmtId="0" fontId="0" fillId="2" borderId="58" xfId="0" applyFill="1" applyBorder="1" applyAlignment="1">
      <alignment horizontal="justify" vertical="top"/>
    </xf>
    <xf numFmtId="0" fontId="0" fillId="0" borderId="73" xfId="0" applyBorder="1" applyAlignment="1">
      <alignment horizontal="justify" vertical="top"/>
    </xf>
    <xf numFmtId="0" fontId="6" fillId="2" borderId="0" xfId="0" applyFont="1" applyFill="1" applyAlignment="1">
      <alignment horizontal="justify" vertical="top"/>
    </xf>
    <xf numFmtId="0" fontId="5" fillId="2" borderId="0" xfId="0" applyFont="1" applyFill="1" applyAlignment="1">
      <alignment horizontal="justify" vertical="top"/>
    </xf>
    <xf numFmtId="0" fontId="9" fillId="2" borderId="0" xfId="0" applyFont="1" applyFill="1" applyAlignment="1">
      <alignment horizontal="justify" vertical="top"/>
    </xf>
    <xf numFmtId="0" fontId="0" fillId="2" borderId="59" xfId="0" applyFill="1" applyBorder="1" applyAlignment="1">
      <alignment horizontal="justify" vertical="top"/>
    </xf>
    <xf numFmtId="0" fontId="0" fillId="2" borderId="60" xfId="0" applyFill="1" applyBorder="1" applyAlignment="1">
      <alignment horizontal="justify" vertical="top"/>
    </xf>
    <xf numFmtId="0" fontId="0" fillId="2" borderId="61" xfId="0" applyFill="1" applyBorder="1" applyAlignment="1">
      <alignment horizontal="justify" vertical="top"/>
    </xf>
    <xf numFmtId="9" fontId="43" fillId="16" borderId="1" xfId="0" applyNumberFormat="1" applyFont="1" applyFill="1" applyBorder="1" applyAlignment="1" applyProtection="1">
      <alignment horizontal="center" vertical="center" wrapText="1"/>
      <protection hidden="1"/>
    </xf>
    <xf numFmtId="9" fontId="43" fillId="16" borderId="1" xfId="0" applyNumberFormat="1" applyFont="1" applyFill="1" applyBorder="1" applyAlignment="1" applyProtection="1">
      <alignment horizontal="center" vertical="center" wrapText="1"/>
      <protection locked="0" hidden="1"/>
    </xf>
    <xf numFmtId="9" fontId="7" fillId="0" borderId="1" xfId="0" applyNumberFormat="1" applyFont="1" applyBorder="1" applyAlignment="1" applyProtection="1">
      <alignment horizontal="center" vertical="center" wrapText="1"/>
      <protection locked="0"/>
    </xf>
    <xf numFmtId="0" fontId="21" fillId="2" borderId="154" xfId="0" applyFont="1" applyFill="1" applyBorder="1" applyAlignment="1" applyProtection="1">
      <alignment horizontal="center" vertical="center" wrapText="1"/>
      <protection locked="0"/>
    </xf>
    <xf numFmtId="0" fontId="21" fillId="2" borderId="0" xfId="0" applyFont="1" applyFill="1" applyProtection="1">
      <protection locked="0"/>
    </xf>
    <xf numFmtId="0" fontId="57" fillId="0" borderId="110" xfId="0" applyFont="1" applyBorder="1" applyAlignment="1" applyProtection="1">
      <alignment horizontal="justify" vertical="center" wrapText="1"/>
      <protection locked="0"/>
    </xf>
    <xf numFmtId="0" fontId="58" fillId="0" borderId="110" xfId="0" applyFont="1" applyBorder="1" applyAlignment="1" applyProtection="1">
      <alignment horizontal="justify" vertical="top" wrapText="1"/>
      <protection locked="0"/>
    </xf>
    <xf numFmtId="2" fontId="25" fillId="2" borderId="0" xfId="0" applyNumberFormat="1" applyFont="1" applyFill="1" applyAlignment="1" applyProtection="1">
      <alignment horizontal="center" vertical="center" wrapText="1"/>
      <protection hidden="1"/>
    </xf>
    <xf numFmtId="0" fontId="21" fillId="2" borderId="22" xfId="0" applyFont="1" applyFill="1" applyBorder="1" applyAlignment="1" applyProtection="1">
      <alignment horizontal="left" vertical="center" wrapText="1"/>
      <protection locked="0"/>
    </xf>
    <xf numFmtId="0" fontId="21" fillId="2" borderId="23" xfId="0" applyFont="1" applyFill="1" applyBorder="1" applyAlignment="1" applyProtection="1">
      <alignment horizontal="left" vertical="center" wrapText="1"/>
      <protection locked="0"/>
    </xf>
    <xf numFmtId="0" fontId="21" fillId="2" borderId="24" xfId="0" applyFont="1" applyFill="1" applyBorder="1" applyAlignment="1" applyProtection="1">
      <alignment horizontal="left" vertical="center" wrapText="1"/>
      <protection locked="0"/>
    </xf>
    <xf numFmtId="0" fontId="21" fillId="2" borderId="17" xfId="0" applyFont="1" applyFill="1" applyBorder="1" applyAlignment="1" applyProtection="1">
      <alignment horizontal="left" vertical="center" wrapText="1"/>
      <protection locked="0"/>
    </xf>
    <xf numFmtId="0" fontId="21" fillId="2" borderId="12" xfId="0" applyFont="1" applyFill="1" applyBorder="1" applyAlignment="1" applyProtection="1">
      <alignment horizontal="left" vertical="center" wrapText="1"/>
      <protection locked="0"/>
    </xf>
    <xf numFmtId="0" fontId="21" fillId="2" borderId="19" xfId="0" applyFont="1" applyFill="1" applyBorder="1" applyAlignment="1" applyProtection="1">
      <alignment horizontal="left" vertical="center" wrapText="1"/>
      <protection locked="0"/>
    </xf>
    <xf numFmtId="165" fontId="25" fillId="2" borderId="0" xfId="0" applyNumberFormat="1" applyFont="1" applyFill="1" applyAlignment="1" applyProtection="1">
      <alignment horizontal="center" vertical="center" wrapText="1"/>
      <protection hidden="1"/>
    </xf>
    <xf numFmtId="166" fontId="25" fillId="2" borderId="0" xfId="0" applyNumberFormat="1" applyFont="1" applyFill="1" applyAlignment="1" applyProtection="1">
      <alignment horizontal="center" vertical="center" wrapText="1"/>
      <protection hidden="1"/>
    </xf>
    <xf numFmtId="2" fontId="24" fillId="2" borderId="0" xfId="0" applyNumberFormat="1" applyFont="1" applyFill="1" applyAlignment="1" applyProtection="1">
      <alignment horizontal="center" vertical="center" textRotation="90" wrapText="1"/>
      <protection hidden="1"/>
    </xf>
    <xf numFmtId="2" fontId="24" fillId="2" borderId="0" xfId="0" applyNumberFormat="1" applyFont="1" applyFill="1" applyAlignment="1">
      <alignment horizontal="center" vertical="center" textRotation="90" wrapText="1"/>
    </xf>
    <xf numFmtId="2" fontId="53" fillId="2" borderId="0" xfId="0" applyNumberFormat="1" applyFont="1" applyFill="1" applyAlignment="1">
      <alignment horizontal="center" vertical="center" wrapText="1"/>
    </xf>
    <xf numFmtId="2" fontId="54" fillId="2" borderId="0" xfId="0" applyNumberFormat="1" applyFont="1" applyFill="1" applyAlignment="1">
      <alignment horizontal="center" vertical="center" textRotation="90" wrapText="1"/>
    </xf>
    <xf numFmtId="165" fontId="53" fillId="2" borderId="0" xfId="0" applyNumberFormat="1" applyFont="1" applyFill="1" applyAlignment="1">
      <alignment horizontal="center" vertical="center" wrapText="1"/>
    </xf>
    <xf numFmtId="166" fontId="53" fillId="2" borderId="0" xfId="0" applyNumberFormat="1" applyFont="1" applyFill="1" applyAlignment="1">
      <alignment horizontal="center" vertical="center" wrapText="1"/>
    </xf>
    <xf numFmtId="0" fontId="19" fillId="0" borderId="16" xfId="0" applyFont="1" applyBorder="1" applyAlignment="1">
      <alignment horizontal="lef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21" fillId="2" borderId="22" xfId="0" applyFont="1" applyFill="1" applyBorder="1" applyAlignment="1" applyProtection="1">
      <alignment horizontal="center" vertical="center" wrapText="1"/>
      <protection locked="0"/>
    </xf>
    <xf numFmtId="0" fontId="21" fillId="2" borderId="23" xfId="0" applyFont="1" applyFill="1" applyBorder="1" applyAlignment="1" applyProtection="1">
      <alignment horizontal="center" vertical="center" wrapText="1"/>
      <protection locked="0"/>
    </xf>
    <xf numFmtId="0" fontId="21" fillId="2" borderId="24"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center" vertical="center"/>
      <protection locked="0"/>
    </xf>
    <xf numFmtId="0" fontId="21" fillId="2" borderId="12"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22" xfId="0" applyFont="1" applyFill="1" applyBorder="1" applyAlignment="1" applyProtection="1">
      <alignment horizontal="center" vertical="center"/>
      <protection locked="0"/>
    </xf>
    <xf numFmtId="0" fontId="21" fillId="2" borderId="23" xfId="0" applyFont="1" applyFill="1" applyBorder="1" applyAlignment="1" applyProtection="1">
      <alignment horizontal="center" vertical="center"/>
      <protection locked="0"/>
    </xf>
    <xf numFmtId="0" fontId="21" fillId="2" borderId="24" xfId="0" applyFont="1" applyFill="1" applyBorder="1" applyAlignment="1" applyProtection="1">
      <alignment horizontal="center" vertical="center"/>
      <protection locked="0"/>
    </xf>
    <xf numFmtId="0" fontId="21" fillId="2" borderId="107" xfId="0" applyFont="1" applyFill="1" applyBorder="1" applyAlignment="1" applyProtection="1">
      <alignment horizontal="center" vertical="center" wrapText="1"/>
      <protection hidden="1"/>
    </xf>
    <xf numFmtId="0" fontId="21" fillId="2" borderId="104" xfId="0" applyFont="1" applyFill="1" applyBorder="1" applyAlignment="1" applyProtection="1">
      <alignment horizontal="center" vertical="center" wrapText="1"/>
      <protection hidden="1"/>
    </xf>
    <xf numFmtId="0" fontId="21" fillId="2" borderId="108" xfId="0" applyFont="1" applyFill="1" applyBorder="1" applyAlignment="1" applyProtection="1">
      <alignment horizontal="center" vertical="center" wrapText="1"/>
      <protection hidden="1"/>
    </xf>
    <xf numFmtId="0" fontId="21" fillId="0" borderId="22"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0" fontId="21" fillId="2" borderId="2" xfId="0" applyFont="1" applyFill="1" applyBorder="1" applyAlignment="1" applyProtection="1">
      <alignment horizontal="center" vertical="center" wrapText="1"/>
      <protection hidden="1"/>
    </xf>
    <xf numFmtId="0" fontId="21" fillId="2" borderId="25" xfId="0" applyFont="1" applyFill="1" applyBorder="1" applyAlignment="1" applyProtection="1">
      <alignment horizontal="center" vertical="center" wrapText="1"/>
      <protection hidden="1"/>
    </xf>
    <xf numFmtId="0" fontId="21" fillId="2" borderId="26" xfId="0" applyFont="1" applyFill="1" applyBorder="1" applyAlignment="1" applyProtection="1">
      <alignment horizontal="center" vertical="center" wrapText="1"/>
      <protection hidden="1"/>
    </xf>
    <xf numFmtId="0" fontId="21" fillId="0" borderId="16" xfId="0" applyFont="1" applyBorder="1" applyAlignment="1">
      <alignment horizontal="left" vertical="top"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21" fillId="2" borderId="17" xfId="0" applyFont="1" applyFill="1" applyBorder="1" applyAlignment="1" applyProtection="1">
      <alignment horizontal="left" vertical="top" wrapText="1"/>
      <protection locked="0"/>
    </xf>
    <xf numFmtId="0" fontId="21" fillId="2" borderId="12" xfId="0" applyFont="1" applyFill="1" applyBorder="1" applyAlignment="1" applyProtection="1">
      <alignment horizontal="left" vertical="top" wrapText="1"/>
      <protection locked="0"/>
    </xf>
    <xf numFmtId="0" fontId="21" fillId="2" borderId="19" xfId="0" applyFont="1" applyFill="1" applyBorder="1" applyAlignment="1" applyProtection="1">
      <alignment horizontal="left" vertical="top" wrapText="1"/>
      <protection locked="0"/>
    </xf>
    <xf numFmtId="0" fontId="21" fillId="2" borderId="74" xfId="0" applyFont="1" applyFill="1" applyBorder="1" applyAlignment="1" applyProtection="1">
      <alignment horizontal="center" vertical="center"/>
      <protection locked="0"/>
    </xf>
    <xf numFmtId="0" fontId="21" fillId="2" borderId="33" xfId="0" applyFont="1" applyFill="1" applyBorder="1" applyAlignment="1" applyProtection="1">
      <alignment horizontal="center" vertical="center"/>
      <protection locked="0"/>
    </xf>
    <xf numFmtId="0" fontId="21" fillId="2" borderId="77" xfId="0" applyFont="1" applyFill="1" applyBorder="1" applyAlignment="1" applyProtection="1">
      <alignment horizontal="center" vertical="center"/>
      <protection locked="0"/>
    </xf>
    <xf numFmtId="0" fontId="25" fillId="6" borderId="6" xfId="0" applyFont="1" applyFill="1" applyBorder="1" applyAlignment="1">
      <alignment horizontal="left" vertical="center" wrapText="1"/>
    </xf>
    <xf numFmtId="0" fontId="25" fillId="6" borderId="7" xfId="0" applyFont="1" applyFill="1" applyBorder="1" applyAlignment="1">
      <alignment horizontal="left" vertical="center" wrapText="1"/>
    </xf>
    <xf numFmtId="0" fontId="24" fillId="6" borderId="2"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1" xfId="0" applyFont="1" applyFill="1" applyBorder="1" applyAlignment="1" applyProtection="1">
      <alignment horizontal="center" vertical="center" textRotation="90" wrapText="1"/>
      <protection locked="0"/>
    </xf>
    <xf numFmtId="0" fontId="24" fillId="6" borderId="2" xfId="0" applyFont="1" applyFill="1" applyBorder="1" applyAlignment="1" applyProtection="1">
      <alignment horizontal="center" vertical="center" textRotation="90" wrapText="1"/>
      <protection locked="0"/>
    </xf>
    <xf numFmtId="0" fontId="24" fillId="6" borderId="1" xfId="0" applyFont="1" applyFill="1" applyBorder="1" applyAlignment="1" applyProtection="1">
      <alignment horizontal="center" vertical="center"/>
      <protection locked="0"/>
    </xf>
    <xf numFmtId="0" fontId="24" fillId="6" borderId="2"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wrapText="1"/>
      <protection hidden="1"/>
    </xf>
    <xf numFmtId="0" fontId="25" fillId="2" borderId="0" xfId="0" applyFont="1" applyFill="1" applyAlignment="1" applyProtection="1">
      <alignment horizontal="center" vertical="center" wrapText="1"/>
      <protection hidden="1"/>
    </xf>
    <xf numFmtId="0" fontId="24" fillId="2" borderId="0" xfId="0" applyFont="1" applyFill="1" applyAlignment="1" applyProtection="1">
      <alignment horizontal="center" vertical="center" textRotation="90" wrapText="1"/>
      <protection hidden="1"/>
    </xf>
    <xf numFmtId="0" fontId="24" fillId="2" borderId="0" xfId="0" applyFont="1" applyFill="1" applyAlignment="1">
      <alignment horizontal="center" vertical="center" textRotation="90" wrapText="1"/>
    </xf>
    <xf numFmtId="0" fontId="19" fillId="6" borderId="6"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21" fillId="19" borderId="1" xfId="0" applyFont="1" applyFill="1" applyBorder="1" applyAlignment="1">
      <alignment horizontal="left" vertical="top" wrapText="1"/>
    </xf>
    <xf numFmtId="0" fontId="24" fillId="6" borderId="1" xfId="0" applyFont="1" applyFill="1" applyBorder="1" applyAlignment="1">
      <alignment horizontal="left" vertical="center" wrapText="1"/>
    </xf>
    <xf numFmtId="0" fontId="24" fillId="6" borderId="2" xfId="0" applyFont="1" applyFill="1" applyBorder="1" applyAlignment="1">
      <alignment horizontal="left" vertical="center" wrapText="1"/>
    </xf>
    <xf numFmtId="0" fontId="25" fillId="6" borderId="1"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21" fillId="0" borderId="21" xfId="0" applyFont="1" applyBorder="1" applyAlignment="1">
      <alignment horizontal="left" vertical="top" wrapText="1"/>
    </xf>
    <xf numFmtId="0" fontId="24" fillId="6" borderId="1" xfId="0" applyFont="1" applyFill="1" applyBorder="1" applyAlignment="1">
      <alignment horizontal="center" vertical="center" textRotation="90" wrapText="1"/>
    </xf>
    <xf numFmtId="0" fontId="24" fillId="6" borderId="2" xfId="0" applyFont="1" applyFill="1" applyBorder="1" applyAlignment="1">
      <alignment horizontal="center" vertical="center" textRotation="90" wrapText="1"/>
    </xf>
    <xf numFmtId="0" fontId="15" fillId="19" borderId="1" xfId="0" applyFont="1" applyFill="1" applyBorder="1" applyAlignment="1" applyProtection="1">
      <alignment horizontal="center" vertical="center" wrapText="1"/>
      <protection hidden="1"/>
    </xf>
    <xf numFmtId="0" fontId="21" fillId="2" borderId="90" xfId="0" applyFont="1" applyFill="1" applyBorder="1" applyAlignment="1" applyProtection="1">
      <alignment horizontal="center" vertical="center" wrapText="1"/>
      <protection hidden="1"/>
    </xf>
    <xf numFmtId="0" fontId="21" fillId="2" borderId="13" xfId="0" applyFont="1" applyFill="1" applyBorder="1" applyAlignment="1" applyProtection="1">
      <alignment horizontal="center" vertical="center" wrapText="1"/>
      <protection hidden="1"/>
    </xf>
    <xf numFmtId="0" fontId="21" fillId="2" borderId="91" xfId="0" applyFont="1" applyFill="1" applyBorder="1" applyAlignment="1" applyProtection="1">
      <alignment horizontal="center" vertical="center" wrapText="1"/>
      <protection hidden="1"/>
    </xf>
    <xf numFmtId="0" fontId="24" fillId="6" borderId="1" xfId="0" applyFont="1" applyFill="1" applyBorder="1" applyAlignment="1" applyProtection="1">
      <alignment horizontal="center" vertical="center" textRotation="90" wrapText="1"/>
      <protection hidden="1"/>
    </xf>
    <xf numFmtId="0" fontId="24" fillId="6" borderId="2" xfId="0" applyFont="1" applyFill="1" applyBorder="1" applyAlignment="1" applyProtection="1">
      <alignment horizontal="center" vertical="center" textRotation="90" wrapText="1"/>
      <protection hidden="1"/>
    </xf>
    <xf numFmtId="0" fontId="24" fillId="6" borderId="3" xfId="0" applyFont="1" applyFill="1" applyBorder="1" applyAlignment="1" applyProtection="1">
      <alignment horizontal="center" vertical="center" textRotation="90" wrapText="1"/>
      <protection hidden="1"/>
    </xf>
    <xf numFmtId="0" fontId="21" fillId="2" borderId="3" xfId="0" applyFont="1" applyFill="1" applyBorder="1" applyAlignment="1" applyProtection="1">
      <alignment horizontal="center" vertical="center" wrapText="1"/>
      <protection hidden="1"/>
    </xf>
    <xf numFmtId="0" fontId="21" fillId="2" borderId="0" xfId="0" applyFont="1" applyFill="1" applyAlignment="1">
      <alignment horizontal="left" vertical="center" wrapText="1"/>
    </xf>
    <xf numFmtId="0" fontId="21" fillId="2" borderId="0" xfId="0" applyFont="1" applyFill="1" applyAlignment="1">
      <alignment horizontal="center"/>
    </xf>
    <xf numFmtId="164" fontId="21" fillId="2" borderId="0" xfId="0" applyNumberFormat="1" applyFont="1" applyFill="1" applyAlignment="1">
      <alignment horizont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1" xfId="0" applyFont="1" applyFill="1" applyBorder="1" applyAlignment="1">
      <alignment horizontal="center" vertical="center" wrapText="1"/>
    </xf>
    <xf numFmtId="0" fontId="24" fillId="6" borderId="4" xfId="0" applyFont="1" applyFill="1" applyBorder="1" applyAlignment="1">
      <alignment horizontal="center" vertical="center"/>
    </xf>
    <xf numFmtId="0" fontId="24" fillId="6" borderId="5" xfId="0" applyFont="1" applyFill="1" applyBorder="1" applyAlignment="1">
      <alignment horizontal="center" vertical="center"/>
    </xf>
    <xf numFmtId="0" fontId="24" fillId="6" borderId="73" xfId="0" applyFont="1" applyFill="1" applyBorder="1" applyAlignment="1">
      <alignment horizontal="center" vertical="center"/>
    </xf>
    <xf numFmtId="0" fontId="15" fillId="19" borderId="1" xfId="0" applyFont="1" applyFill="1" applyBorder="1" applyAlignment="1">
      <alignment horizontal="center" vertical="center" wrapText="1"/>
    </xf>
    <xf numFmtId="0" fontId="24" fillId="6" borderId="94" xfId="0" applyFont="1" applyFill="1" applyBorder="1" applyAlignment="1" applyProtection="1">
      <alignment horizontal="center" vertical="center"/>
      <protection locked="0"/>
    </xf>
    <xf numFmtId="0" fontId="24" fillId="6" borderId="95" xfId="0" applyFont="1" applyFill="1" applyBorder="1" applyAlignment="1" applyProtection="1">
      <alignment horizontal="center" vertical="center"/>
      <protection locked="0"/>
    </xf>
    <xf numFmtId="0" fontId="24" fillId="6" borderId="96" xfId="0" applyFont="1" applyFill="1" applyBorder="1" applyAlignment="1" applyProtection="1">
      <alignment horizontal="center" vertical="center"/>
      <protection locked="0"/>
    </xf>
    <xf numFmtId="0" fontId="24" fillId="6" borderId="2" xfId="0" applyFont="1" applyFill="1" applyBorder="1" applyAlignment="1" applyProtection="1">
      <alignment horizontal="center" vertical="center" wrapText="1"/>
      <protection locked="0"/>
    </xf>
    <xf numFmtId="0" fontId="24" fillId="6" borderId="26" xfId="0" applyFont="1" applyFill="1" applyBorder="1" applyAlignment="1" applyProtection="1">
      <alignment horizontal="center" vertical="center" wrapText="1"/>
      <protection locked="0"/>
    </xf>
    <xf numFmtId="0" fontId="21" fillId="2" borderId="16" xfId="0" applyFont="1" applyFill="1" applyBorder="1" applyAlignment="1">
      <alignment horizontal="left" vertical="top" wrapText="1"/>
    </xf>
    <xf numFmtId="0" fontId="21" fillId="2" borderId="14" xfId="0" applyFont="1" applyFill="1" applyBorder="1" applyAlignment="1">
      <alignment horizontal="left" vertical="top" wrapText="1"/>
    </xf>
    <xf numFmtId="0" fontId="21" fillId="2" borderId="15" xfId="0" applyFont="1" applyFill="1" applyBorder="1" applyAlignment="1">
      <alignment horizontal="left" vertical="top" wrapText="1"/>
    </xf>
    <xf numFmtId="0" fontId="24" fillId="6" borderId="64" xfId="0" applyFont="1" applyFill="1" applyBorder="1" applyAlignment="1" applyProtection="1">
      <alignment horizontal="center" vertical="center" wrapText="1"/>
      <protection locked="0"/>
    </xf>
    <xf numFmtId="0" fontId="24" fillId="6" borderId="25" xfId="0" applyFont="1" applyFill="1" applyBorder="1" applyAlignment="1" applyProtection="1">
      <alignment horizontal="center" vertical="center" wrapText="1"/>
      <protection locked="0"/>
    </xf>
    <xf numFmtId="0" fontId="24" fillId="6" borderId="1" xfId="0" applyFont="1" applyFill="1" applyBorder="1" applyAlignment="1" applyProtection="1">
      <alignment horizontal="center" vertical="center" wrapText="1"/>
      <protection locked="0"/>
    </xf>
    <xf numFmtId="0" fontId="21" fillId="0" borderId="17"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2" xfId="0" applyFont="1" applyBorder="1" applyAlignment="1">
      <alignment horizontal="left" vertical="top" wrapText="1"/>
    </xf>
    <xf numFmtId="0" fontId="21" fillId="0" borderId="23" xfId="0" applyFont="1" applyBorder="1" applyAlignment="1">
      <alignment horizontal="left" vertical="top" wrapText="1"/>
    </xf>
    <xf numFmtId="0" fontId="21" fillId="0" borderId="24" xfId="0" applyFont="1" applyBorder="1" applyAlignment="1">
      <alignment horizontal="left" vertical="top" wrapText="1"/>
    </xf>
    <xf numFmtId="0" fontId="21" fillId="0" borderId="16" xfId="0" applyFont="1" applyBorder="1" applyAlignment="1">
      <alignment vertical="top" wrapText="1"/>
    </xf>
    <xf numFmtId="0" fontId="21" fillId="0" borderId="14" xfId="0" applyFont="1" applyBorder="1" applyAlignment="1">
      <alignment vertical="top" wrapText="1"/>
    </xf>
    <xf numFmtId="0" fontId="21" fillId="0" borderId="15" xfId="0" applyFont="1" applyBorder="1" applyAlignment="1">
      <alignment vertical="top" wrapText="1"/>
    </xf>
    <xf numFmtId="0" fontId="21" fillId="0" borderId="12" xfId="0" applyFont="1" applyBorder="1" applyAlignment="1" applyProtection="1">
      <alignment horizontal="left" vertical="center"/>
      <protection locked="0"/>
    </xf>
    <xf numFmtId="0" fontId="21" fillId="0" borderId="19" xfId="0" applyFont="1" applyBorder="1" applyAlignment="1" applyProtection="1">
      <alignment horizontal="left" vertical="center"/>
      <protection locked="0"/>
    </xf>
    <xf numFmtId="0" fontId="15" fillId="19" borderId="1"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top" wrapText="1"/>
      <protection locked="0"/>
    </xf>
    <xf numFmtId="0" fontId="21" fillId="2" borderId="12" xfId="0" applyFont="1" applyFill="1" applyBorder="1" applyAlignment="1" applyProtection="1">
      <alignment horizontal="center" vertical="top" wrapText="1"/>
      <protection locked="0"/>
    </xf>
    <xf numFmtId="0" fontId="21" fillId="2" borderId="19" xfId="0" applyFont="1" applyFill="1" applyBorder="1" applyAlignment="1" applyProtection="1">
      <alignment horizontal="center" vertical="top" wrapText="1"/>
      <protection locked="0"/>
    </xf>
    <xf numFmtId="0" fontId="15" fillId="19" borderId="1" xfId="0" applyFont="1" applyFill="1" applyBorder="1" applyAlignment="1">
      <alignment horizontal="left" vertical="center" wrapText="1"/>
    </xf>
    <xf numFmtId="0" fontId="21" fillId="2" borderId="104" xfId="0" applyFont="1" applyFill="1" applyBorder="1" applyAlignment="1" applyProtection="1">
      <alignment horizontal="center" vertical="top" wrapText="1"/>
      <protection locked="0"/>
    </xf>
    <xf numFmtId="0" fontId="21" fillId="2" borderId="108" xfId="0" applyFont="1" applyFill="1" applyBorder="1" applyAlignment="1" applyProtection="1">
      <alignment horizontal="center" vertical="top" wrapText="1"/>
      <protection locked="0"/>
    </xf>
    <xf numFmtId="0" fontId="24" fillId="6" borderId="64" xfId="0" applyFont="1" applyFill="1" applyBorder="1" applyAlignment="1">
      <alignment horizontal="center" vertical="center" wrapText="1"/>
    </xf>
    <xf numFmtId="0" fontId="49" fillId="6" borderId="0" xfId="0" applyFont="1" applyFill="1" applyAlignment="1">
      <alignment horizontal="center" vertical="center"/>
    </xf>
    <xf numFmtId="0" fontId="20" fillId="2" borderId="0" xfId="0" applyFont="1" applyFill="1" applyAlignment="1">
      <alignment horizontal="justify" vertical="top" wrapText="1"/>
    </xf>
    <xf numFmtId="0" fontId="21" fillId="2" borderId="17" xfId="0" applyFont="1" applyFill="1" applyBorder="1" applyAlignment="1" applyProtection="1">
      <alignment horizontal="center" vertical="center" wrapText="1"/>
      <protection locked="0"/>
    </xf>
    <xf numFmtId="0" fontId="21" fillId="2" borderId="104" xfId="0" applyFont="1" applyFill="1" applyBorder="1" applyAlignment="1" applyProtection="1">
      <alignment horizontal="center" vertical="center"/>
      <protection locked="0"/>
    </xf>
    <xf numFmtId="0" fontId="21" fillId="2" borderId="108" xfId="0" applyFont="1" applyFill="1" applyBorder="1" applyAlignment="1" applyProtection="1">
      <alignment horizontal="center" vertical="center"/>
      <protection locked="0"/>
    </xf>
    <xf numFmtId="0" fontId="45" fillId="19" borderId="1" xfId="0" applyFont="1" applyFill="1" applyBorder="1" applyAlignment="1">
      <alignment horizontal="center" vertical="center" textRotation="90" shrinkToFit="1"/>
    </xf>
    <xf numFmtId="0" fontId="21" fillId="2" borderId="29" xfId="0" applyFont="1" applyFill="1" applyBorder="1" applyAlignment="1" applyProtection="1">
      <alignment horizontal="center" vertical="center" wrapText="1"/>
      <protection hidden="1"/>
    </xf>
    <xf numFmtId="0" fontId="21" fillId="2" borderId="78" xfId="0" applyFont="1" applyFill="1" applyBorder="1" applyAlignment="1" applyProtection="1">
      <alignment horizontal="center" vertical="center"/>
      <protection locked="0"/>
    </xf>
    <xf numFmtId="0" fontId="21" fillId="2" borderId="79" xfId="0" applyFont="1" applyFill="1" applyBorder="1" applyAlignment="1" applyProtection="1">
      <alignment horizontal="center" vertical="center"/>
      <protection locked="0"/>
    </xf>
    <xf numFmtId="0" fontId="21" fillId="2" borderId="80" xfId="0" applyFont="1" applyFill="1" applyBorder="1" applyAlignment="1" applyProtection="1">
      <alignment horizontal="center" vertical="center"/>
      <protection locked="0"/>
    </xf>
    <xf numFmtId="0" fontId="21" fillId="0" borderId="41" xfId="0" applyFont="1" applyBorder="1" applyAlignment="1">
      <alignment horizontal="left" vertical="top" wrapText="1"/>
    </xf>
    <xf numFmtId="0" fontId="21" fillId="0" borderId="42" xfId="0" applyFont="1" applyBorder="1" applyAlignment="1">
      <alignment horizontal="left" vertical="top" wrapText="1"/>
    </xf>
    <xf numFmtId="0" fontId="21" fillId="0" borderId="43" xfId="0" applyFont="1" applyBorder="1" applyAlignment="1">
      <alignment horizontal="left" vertical="top" wrapText="1"/>
    </xf>
    <xf numFmtId="0" fontId="11" fillId="0" borderId="119" xfId="4" quotePrefix="1" applyFont="1" applyBorder="1" applyAlignment="1">
      <alignment horizontal="left" vertical="top" wrapText="1"/>
    </xf>
    <xf numFmtId="0" fontId="11" fillId="0" borderId="0" xfId="4" quotePrefix="1" applyFont="1" applyAlignment="1">
      <alignment horizontal="left" vertical="top" wrapText="1"/>
    </xf>
    <xf numFmtId="0" fontId="11" fillId="0" borderId="120" xfId="4" quotePrefix="1" applyFont="1" applyBorder="1" applyAlignment="1">
      <alignment horizontal="left" vertical="top" wrapText="1"/>
    </xf>
    <xf numFmtId="0" fontId="16" fillId="12" borderId="115" xfId="4" applyFont="1" applyFill="1" applyBorder="1" applyAlignment="1">
      <alignment horizontal="center" vertical="center"/>
    </xf>
    <xf numFmtId="0" fontId="16" fillId="12" borderId="116" xfId="4" applyFont="1" applyFill="1" applyBorder="1" applyAlignment="1">
      <alignment horizontal="center" vertical="center"/>
    </xf>
    <xf numFmtId="0" fontId="18" fillId="0" borderId="113" xfId="4" applyFont="1" applyBorder="1" applyAlignment="1">
      <alignment horizontal="left" vertical="top" wrapText="1"/>
    </xf>
    <xf numFmtId="0" fontId="18" fillId="0" borderId="114" xfId="4" applyFont="1" applyBorder="1" applyAlignment="1">
      <alignment horizontal="left" vertical="top" wrapText="1"/>
    </xf>
    <xf numFmtId="0" fontId="18" fillId="0" borderId="111" xfId="0" applyFont="1" applyBorder="1" applyAlignment="1">
      <alignment horizontal="left" vertical="top" wrapText="1"/>
    </xf>
    <xf numFmtId="0" fontId="18" fillId="0" borderId="112" xfId="0" applyFont="1" applyBorder="1" applyAlignment="1">
      <alignment horizontal="left" vertical="top" wrapText="1"/>
    </xf>
    <xf numFmtId="0" fontId="18" fillId="0" borderId="33" xfId="4" applyFont="1" applyBorder="1" applyAlignment="1">
      <alignment horizontal="left" vertical="top" wrapText="1"/>
    </xf>
    <xf numFmtId="0" fontId="18" fillId="0" borderId="40" xfId="4" applyFont="1" applyBorder="1" applyAlignment="1">
      <alignment horizontal="left" vertical="top" wrapText="1"/>
    </xf>
    <xf numFmtId="0" fontId="16" fillId="2" borderId="37" xfId="0" applyFont="1" applyFill="1" applyBorder="1" applyAlignment="1">
      <alignment horizontal="left" vertical="center" wrapText="1"/>
    </xf>
    <xf numFmtId="0" fontId="16" fillId="2" borderId="12" xfId="0" applyFont="1" applyFill="1" applyBorder="1" applyAlignment="1">
      <alignment horizontal="left" vertical="center" wrapText="1"/>
    </xf>
    <xf numFmtId="0" fontId="16" fillId="2" borderId="36" xfId="5" applyFont="1" applyFill="1" applyBorder="1" applyAlignment="1">
      <alignment horizontal="left" vertical="top" wrapText="1" readingOrder="1"/>
    </xf>
    <xf numFmtId="0" fontId="16" fillId="2" borderId="9" xfId="5" applyFont="1" applyFill="1" applyBorder="1" applyAlignment="1">
      <alignment horizontal="left" vertical="top" wrapText="1" readingOrder="1"/>
    </xf>
    <xf numFmtId="0" fontId="16" fillId="12" borderId="34" xfId="5" applyFont="1" applyFill="1" applyBorder="1" applyAlignment="1">
      <alignment horizontal="center" vertical="center" wrapText="1"/>
    </xf>
    <xf numFmtId="0" fontId="16" fillId="12" borderId="35" xfId="5" applyFont="1" applyFill="1" applyBorder="1" applyAlignment="1">
      <alignment horizontal="center" vertical="center" wrapText="1"/>
    </xf>
    <xf numFmtId="0" fontId="18" fillId="0" borderId="33" xfId="0" applyFont="1" applyBorder="1" applyAlignment="1">
      <alignment horizontal="left" vertical="center" wrapText="1"/>
    </xf>
    <xf numFmtId="0" fontId="18" fillId="0" borderId="40" xfId="0" applyFont="1" applyBorder="1" applyAlignment="1">
      <alignment horizontal="left" vertical="center" wrapText="1"/>
    </xf>
    <xf numFmtId="0" fontId="18" fillId="0" borderId="1" xfId="3" applyFont="1" applyBorder="1" applyAlignment="1" applyProtection="1">
      <alignment horizontal="center" vertical="center" wrapText="1"/>
      <protection locked="0"/>
    </xf>
    <xf numFmtId="0" fontId="11" fillId="0" borderId="119" xfId="4" applyFont="1" applyBorder="1" applyAlignment="1">
      <alignment horizontal="left" vertical="top"/>
    </xf>
    <xf numFmtId="0" fontId="11" fillId="0" borderId="0" xfId="4" applyFont="1" applyAlignment="1">
      <alignment horizontal="left" vertical="top"/>
    </xf>
    <xf numFmtId="0" fontId="11" fillId="0" borderId="120" xfId="4" applyFont="1" applyBorder="1" applyAlignment="1">
      <alignment horizontal="left" vertical="top"/>
    </xf>
    <xf numFmtId="0" fontId="11" fillId="0" borderId="119" xfId="4" applyFont="1" applyBorder="1" applyAlignment="1">
      <alignment horizontal="left" vertical="top" wrapText="1"/>
    </xf>
    <xf numFmtId="0" fontId="11" fillId="0" borderId="0" xfId="4" applyFont="1" applyAlignment="1">
      <alignment horizontal="left" vertical="top" wrapText="1"/>
    </xf>
    <xf numFmtId="0" fontId="11" fillId="0" borderId="120" xfId="4" applyFont="1" applyBorder="1" applyAlignment="1">
      <alignment horizontal="left" vertical="top" wrapText="1"/>
    </xf>
    <xf numFmtId="0" fontId="11" fillId="0" borderId="0" xfId="4" applyFont="1"/>
    <xf numFmtId="0" fontId="12" fillId="0" borderId="117" xfId="4" applyFont="1" applyBorder="1" applyAlignment="1">
      <alignment horizontal="center" vertical="center" wrapText="1"/>
    </xf>
    <xf numFmtId="0" fontId="12" fillId="0" borderId="95" xfId="4" applyFont="1" applyBorder="1" applyAlignment="1">
      <alignment horizontal="center" vertical="center" wrapText="1"/>
    </xf>
    <xf numFmtId="0" fontId="12" fillId="0" borderId="118" xfId="4" applyFont="1" applyBorder="1" applyAlignment="1">
      <alignment horizontal="center" vertical="center" wrapText="1"/>
    </xf>
    <xf numFmtId="0" fontId="11" fillId="0" borderId="119" xfId="4" quotePrefix="1" applyFont="1" applyBorder="1" applyAlignment="1">
      <alignment horizontal="left" vertical="center" wrapText="1"/>
    </xf>
    <xf numFmtId="0" fontId="11" fillId="0" borderId="0" xfId="4" quotePrefix="1" applyFont="1" applyAlignment="1">
      <alignment horizontal="left" vertical="center" wrapText="1"/>
    </xf>
    <xf numFmtId="0" fontId="11" fillId="0" borderId="120" xfId="4" quotePrefix="1" applyFont="1" applyBorder="1" applyAlignment="1">
      <alignment horizontal="left" vertical="center" wrapText="1"/>
    </xf>
    <xf numFmtId="0" fontId="13" fillId="0" borderId="119" xfId="4" quotePrefix="1" applyFont="1" applyBorder="1" applyAlignment="1">
      <alignment horizontal="left" vertical="top" wrapText="1"/>
    </xf>
    <xf numFmtId="0" fontId="15" fillId="0" borderId="0" xfId="4" quotePrefix="1" applyFont="1" applyAlignment="1">
      <alignment horizontal="left" vertical="top" wrapText="1"/>
    </xf>
    <xf numFmtId="0" fontId="15" fillId="0" borderId="120" xfId="4" quotePrefix="1" applyFont="1" applyBorder="1" applyAlignment="1">
      <alignment horizontal="left" vertical="top" wrapText="1"/>
    </xf>
    <xf numFmtId="0" fontId="29" fillId="0" borderId="101" xfId="3" applyFont="1" applyBorder="1" applyAlignment="1" applyProtection="1">
      <alignment horizontal="center" vertical="center" wrapText="1"/>
      <protection locked="0"/>
    </xf>
    <xf numFmtId="0" fontId="30" fillId="0" borderId="101" xfId="3" applyFont="1" applyBorder="1" applyAlignment="1" applyProtection="1">
      <alignment horizontal="center" vertical="center" wrapText="1"/>
      <protection locked="0"/>
    </xf>
    <xf numFmtId="0" fontId="16" fillId="2" borderId="62" xfId="4" applyFont="1" applyFill="1" applyBorder="1" applyAlignment="1">
      <alignment horizontal="center" vertical="center" textRotation="90"/>
    </xf>
    <xf numFmtId="0" fontId="16" fillId="2" borderId="63" xfId="4" applyFont="1" applyFill="1" applyBorder="1" applyAlignment="1">
      <alignment horizontal="center" vertical="center" textRotation="90"/>
    </xf>
    <xf numFmtId="0" fontId="16" fillId="2" borderId="38"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15" fillId="10" borderId="1" xfId="3" applyFont="1" applyFill="1" applyBorder="1" applyAlignment="1" applyProtection="1">
      <alignment horizontal="center" vertical="center" wrapText="1"/>
      <protection locked="0"/>
    </xf>
    <xf numFmtId="0" fontId="28" fillId="12" borderId="0" xfId="0" applyFont="1" applyFill="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hidden="1"/>
    </xf>
    <xf numFmtId="2" fontId="24" fillId="0" borderId="0" xfId="0" applyNumberFormat="1" applyFont="1" applyAlignment="1" applyProtection="1">
      <alignment horizontal="center" vertical="center" textRotation="90" wrapText="1"/>
      <protection hidden="1"/>
    </xf>
    <xf numFmtId="2" fontId="24" fillId="0" borderId="0" xfId="0" applyNumberFormat="1" applyFont="1" applyAlignment="1">
      <alignment horizontal="center" vertical="center" textRotation="90" wrapText="1"/>
    </xf>
    <xf numFmtId="0" fontId="21" fillId="9" borderId="87" xfId="0" applyFont="1" applyFill="1" applyBorder="1" applyAlignment="1">
      <alignment horizontal="left" vertical="top" wrapText="1"/>
    </xf>
    <xf numFmtId="0" fontId="21" fillId="9" borderId="88" xfId="0" applyFont="1" applyFill="1" applyBorder="1" applyAlignment="1">
      <alignment horizontal="left" vertical="top" wrapText="1"/>
    </xf>
    <xf numFmtId="0" fontId="21" fillId="9" borderId="89" xfId="0" applyFont="1" applyFill="1" applyBorder="1" applyAlignment="1">
      <alignment horizontal="left" vertical="top" wrapText="1"/>
    </xf>
    <xf numFmtId="0" fontId="26" fillId="5"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5" borderId="2" xfId="0" applyFont="1" applyFill="1" applyBorder="1" applyAlignment="1">
      <alignment horizontal="left" vertical="top" wrapText="1"/>
    </xf>
    <xf numFmtId="0" fontId="21" fillId="9" borderId="16" xfId="0" applyFont="1" applyFill="1" applyBorder="1" applyAlignment="1">
      <alignment horizontal="left" vertical="top" wrapText="1"/>
    </xf>
    <xf numFmtId="0" fontId="21" fillId="9" borderId="14" xfId="0" applyFont="1" applyFill="1" applyBorder="1" applyAlignment="1">
      <alignment horizontal="left" vertical="top" wrapText="1"/>
    </xf>
    <xf numFmtId="0" fontId="21" fillId="9" borderId="15"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5" borderId="1" xfId="0" applyFont="1" applyFill="1" applyBorder="1" applyAlignment="1">
      <alignment horizontal="center" vertical="center" textRotation="90" wrapText="1"/>
    </xf>
    <xf numFmtId="0" fontId="24" fillId="5" borderId="2" xfId="0" applyFont="1" applyFill="1" applyBorder="1" applyAlignment="1">
      <alignment horizontal="center" vertical="center" textRotation="90" wrapText="1"/>
    </xf>
    <xf numFmtId="0" fontId="19" fillId="9" borderId="41" xfId="0" applyFont="1" applyFill="1" applyBorder="1" applyAlignment="1">
      <alignment horizontal="left" vertical="top" wrapText="1"/>
    </xf>
    <xf numFmtId="0" fontId="19" fillId="9" borderId="42" xfId="0" applyFont="1" applyFill="1" applyBorder="1" applyAlignment="1">
      <alignment horizontal="left" vertical="top" wrapText="1"/>
    </xf>
    <xf numFmtId="0" fontId="19" fillId="9" borderId="43" xfId="0" applyFont="1" applyFill="1" applyBorder="1" applyAlignment="1">
      <alignment horizontal="left" vertical="top" wrapText="1"/>
    </xf>
    <xf numFmtId="0" fontId="24"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4" fillId="5" borderId="0" xfId="0" applyFont="1" applyFill="1" applyAlignment="1">
      <alignment horizontal="center" vertical="center"/>
    </xf>
    <xf numFmtId="0" fontId="24" fillId="5" borderId="1" xfId="0" applyFont="1" applyFill="1" applyBorder="1" applyAlignment="1" applyProtection="1">
      <alignment horizontal="center" vertical="center" textRotation="90" wrapText="1"/>
      <protection hidden="1"/>
    </xf>
    <xf numFmtId="0" fontId="24" fillId="5" borderId="2" xfId="0" applyFont="1" applyFill="1" applyBorder="1" applyAlignment="1" applyProtection="1">
      <alignment horizontal="center" vertical="center" textRotation="90" wrapText="1"/>
      <protection hidden="1"/>
    </xf>
    <xf numFmtId="0" fontId="24" fillId="5" borderId="4" xfId="0" applyFont="1" applyFill="1" applyBorder="1" applyAlignment="1">
      <alignment horizontal="center" vertical="center"/>
    </xf>
    <xf numFmtId="0" fontId="24" fillId="5" borderId="5" xfId="0" applyFont="1" applyFill="1" applyBorder="1" applyAlignment="1">
      <alignment horizontal="center" vertical="center"/>
    </xf>
    <xf numFmtId="0" fontId="24" fillId="5" borderId="2" xfId="0" applyFont="1" applyFill="1" applyBorder="1" applyAlignment="1">
      <alignment horizontal="center" vertical="center" wrapText="1"/>
    </xf>
    <xf numFmtId="0" fontId="24" fillId="5" borderId="26" xfId="0" applyFont="1" applyFill="1" applyBorder="1" applyAlignment="1">
      <alignment horizontal="center" vertical="center"/>
    </xf>
    <xf numFmtId="0" fontId="21" fillId="2" borderId="12" xfId="0" applyFont="1" applyFill="1" applyBorder="1" applyAlignment="1" applyProtection="1">
      <alignment horizontal="center" vertical="center" wrapText="1"/>
      <protection locked="0"/>
    </xf>
    <xf numFmtId="0" fontId="21" fillId="2" borderId="19" xfId="0" applyFont="1" applyFill="1" applyBorder="1" applyAlignment="1" applyProtection="1">
      <alignment horizontal="center" vertical="center" wrapText="1"/>
      <protection locked="0"/>
    </xf>
    <xf numFmtId="0" fontId="24" fillId="5" borderId="25"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19" fillId="9" borderId="16"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0" borderId="22" xfId="0" quotePrefix="1" applyFont="1" applyBorder="1" applyAlignment="1">
      <alignment horizontal="left" vertical="top" wrapText="1"/>
    </xf>
    <xf numFmtId="0" fontId="24" fillId="5" borderId="1" xfId="0" applyFont="1" applyFill="1" applyBorder="1" applyAlignment="1" applyProtection="1">
      <alignment horizontal="center" vertical="center" textRotation="90" wrapText="1"/>
      <protection locked="0"/>
    </xf>
    <xf numFmtId="0" fontId="24" fillId="5" borderId="2" xfId="0" applyFont="1" applyFill="1" applyBorder="1" applyAlignment="1" applyProtection="1">
      <alignment horizontal="center" vertical="center" textRotation="90" wrapText="1"/>
      <protection locked="0"/>
    </xf>
    <xf numFmtId="0" fontId="24" fillId="5" borderId="2" xfId="0" applyFont="1" applyFill="1" applyBorder="1" applyAlignment="1" applyProtection="1">
      <alignment horizontal="center" vertical="center" wrapText="1"/>
      <protection locked="0"/>
    </xf>
    <xf numFmtId="0" fontId="24" fillId="5" borderId="26" xfId="0" applyFont="1" applyFill="1" applyBorder="1" applyAlignment="1" applyProtection="1">
      <alignment horizontal="center" vertical="center"/>
      <protection locked="0"/>
    </xf>
    <xf numFmtId="0" fontId="24" fillId="5" borderId="1" xfId="0" applyFont="1" applyFill="1" applyBorder="1" applyAlignment="1" applyProtection="1">
      <alignment horizontal="center" vertical="center"/>
      <protection locked="0"/>
    </xf>
    <xf numFmtId="0" fontId="24" fillId="5" borderId="2" xfId="0" applyFont="1" applyFill="1" applyBorder="1" applyAlignment="1" applyProtection="1">
      <alignment horizontal="center" vertical="center"/>
      <protection locked="0"/>
    </xf>
    <xf numFmtId="0" fontId="24" fillId="5" borderId="4" xfId="0" applyFont="1" applyFill="1" applyBorder="1" applyAlignment="1" applyProtection="1">
      <alignment horizontal="center" vertical="center"/>
      <protection locked="0"/>
    </xf>
    <xf numFmtId="0" fontId="24" fillId="5" borderId="5" xfId="0" applyFont="1" applyFill="1" applyBorder="1" applyAlignment="1" applyProtection="1">
      <alignment horizontal="center" vertical="center"/>
      <protection locked="0"/>
    </xf>
    <xf numFmtId="0" fontId="19" fillId="2" borderId="22" xfId="0" applyFont="1" applyFill="1" applyBorder="1" applyAlignment="1">
      <alignment horizontal="left" vertical="top" wrapText="1"/>
    </xf>
    <xf numFmtId="0" fontId="19" fillId="2" borderId="23" xfId="0" applyFont="1" applyFill="1" applyBorder="1" applyAlignment="1">
      <alignment horizontal="left" vertical="top" wrapText="1"/>
    </xf>
    <xf numFmtId="0" fontId="19" fillId="2" borderId="24" xfId="0" applyFont="1" applyFill="1" applyBorder="1" applyAlignment="1">
      <alignment horizontal="left" vertical="top" wrapText="1"/>
    </xf>
    <xf numFmtId="0" fontId="21" fillId="0" borderId="17"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4" fillId="5" borderId="25" xfId="0" applyFont="1" applyFill="1" applyBorder="1" applyAlignment="1" applyProtection="1">
      <alignment horizontal="center" vertical="center" wrapText="1"/>
      <protection locked="0"/>
    </xf>
    <xf numFmtId="0" fontId="24" fillId="5" borderId="26" xfId="0" applyFont="1" applyFill="1" applyBorder="1" applyAlignment="1" applyProtection="1">
      <alignment horizontal="center" vertical="center" wrapText="1"/>
      <protection locked="0"/>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0" borderId="0" xfId="0" applyFont="1" applyAlignment="1" applyProtection="1">
      <alignment horizontal="center" vertical="center" textRotation="90" wrapText="1"/>
      <protection hidden="1"/>
    </xf>
    <xf numFmtId="0" fontId="24" fillId="0" borderId="0" xfId="0" applyFont="1" applyAlignment="1">
      <alignment horizontal="center" vertical="center" textRotation="90" wrapText="1"/>
    </xf>
    <xf numFmtId="0" fontId="25" fillId="0" borderId="0" xfId="0" applyFont="1" applyAlignment="1" applyProtection="1">
      <alignment horizontal="center" vertical="center" wrapText="1"/>
      <protection hidden="1"/>
    </xf>
    <xf numFmtId="2" fontId="54" fillId="0" borderId="0" xfId="0" applyNumberFormat="1" applyFont="1" applyAlignment="1">
      <alignment horizontal="center" vertical="center" textRotation="90" wrapText="1"/>
    </xf>
    <xf numFmtId="2" fontId="53" fillId="0" borderId="0" xfId="0" applyNumberFormat="1" applyFont="1" applyAlignment="1">
      <alignment horizontal="center" vertical="center" wrapText="1"/>
    </xf>
    <xf numFmtId="0" fontId="54" fillId="0" borderId="0" xfId="0" applyFont="1" applyAlignment="1">
      <alignment horizontal="center" vertical="center" textRotation="90" wrapText="1"/>
    </xf>
    <xf numFmtId="0" fontId="53" fillId="0" borderId="0" xfId="0" applyFont="1" applyAlignment="1">
      <alignment horizontal="center" vertical="center" wrapText="1"/>
    </xf>
    <xf numFmtId="0" fontId="21" fillId="0" borderId="22"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19" fillId="0" borderId="41" xfId="0" applyFont="1" applyBorder="1" applyAlignment="1">
      <alignment horizontal="left" vertical="top" wrapText="1"/>
    </xf>
    <xf numFmtId="0" fontId="19" fillId="0" borderId="42" xfId="0" applyFont="1" applyBorder="1" applyAlignment="1">
      <alignment horizontal="left" vertical="top" wrapText="1"/>
    </xf>
    <xf numFmtId="0" fontId="19" fillId="0" borderId="43" xfId="0" applyFont="1" applyBorder="1" applyAlignment="1">
      <alignment horizontal="left" vertical="top" wrapText="1"/>
    </xf>
    <xf numFmtId="0" fontId="24"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4" fillId="3" borderId="4"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133" xfId="0" applyFont="1" applyFill="1" applyBorder="1" applyAlignment="1">
      <alignment horizontal="center" vertical="center" wrapText="1"/>
    </xf>
    <xf numFmtId="0" fontId="24" fillId="3" borderId="4" xfId="0" applyFont="1" applyFill="1" applyBorder="1" applyAlignment="1">
      <alignment vertical="center" wrapText="1"/>
    </xf>
    <xf numFmtId="0" fontId="25" fillId="3" borderId="4" xfId="0" applyFont="1" applyFill="1" applyBorder="1" applyAlignment="1">
      <alignment vertical="center" wrapText="1"/>
    </xf>
    <xf numFmtId="0" fontId="25" fillId="3" borderId="133" xfId="0" applyFont="1" applyFill="1" applyBorder="1" applyAlignment="1">
      <alignment vertical="center" wrapText="1"/>
    </xf>
    <xf numFmtId="0" fontId="24" fillId="3" borderId="0" xfId="0" applyFont="1" applyFill="1" applyAlignment="1">
      <alignment horizontal="center" vertical="center"/>
    </xf>
    <xf numFmtId="0" fontId="24" fillId="3" borderId="1" xfId="0" applyFont="1" applyFill="1" applyBorder="1" applyAlignment="1" applyProtection="1">
      <alignment horizontal="center" vertical="center" textRotation="90" wrapText="1"/>
      <protection hidden="1"/>
    </xf>
    <xf numFmtId="0" fontId="24" fillId="3" borderId="2" xfId="0" applyFont="1" applyFill="1" applyBorder="1" applyAlignment="1" applyProtection="1">
      <alignment horizontal="center" vertical="center" textRotation="90" wrapText="1"/>
      <protection hidden="1"/>
    </xf>
    <xf numFmtId="0" fontId="24" fillId="3" borderId="135" xfId="0" applyFont="1" applyFill="1" applyBorder="1" applyAlignment="1">
      <alignment horizontal="center" vertical="center" textRotation="90" wrapText="1"/>
    </xf>
    <xf numFmtId="0" fontId="24" fillId="3" borderId="137" xfId="0" applyFont="1" applyFill="1" applyBorder="1" applyAlignment="1">
      <alignment horizontal="center" vertical="center" textRotation="90" wrapText="1"/>
    </xf>
    <xf numFmtId="0" fontId="24" fillId="3" borderId="139" xfId="0" applyFont="1" applyFill="1" applyBorder="1" applyAlignment="1">
      <alignment horizontal="center" vertical="center" textRotation="90" wrapText="1"/>
    </xf>
    <xf numFmtId="0" fontId="24" fillId="3" borderId="135" xfId="0" applyFont="1" applyFill="1" applyBorder="1" applyAlignment="1" applyProtection="1">
      <alignment horizontal="center" vertical="center" textRotation="90" wrapText="1"/>
      <protection hidden="1"/>
    </xf>
    <xf numFmtId="0" fontId="24" fillId="3" borderId="137" xfId="0" applyFont="1" applyFill="1" applyBorder="1" applyAlignment="1" applyProtection="1">
      <alignment horizontal="center" vertical="center" textRotation="90" wrapText="1"/>
      <protection hidden="1"/>
    </xf>
    <xf numFmtId="0" fontId="24" fillId="3" borderId="139" xfId="0" applyFont="1" applyFill="1" applyBorder="1" applyAlignment="1" applyProtection="1">
      <alignment horizontal="center" vertical="center" textRotation="90" wrapText="1"/>
      <protection hidden="1"/>
    </xf>
    <xf numFmtId="0" fontId="19" fillId="0" borderId="21" xfId="0" applyFont="1" applyBorder="1" applyAlignment="1">
      <alignment horizontal="left" vertical="top" wrapText="1"/>
    </xf>
    <xf numFmtId="0" fontId="21" fillId="2" borderId="106" xfId="0" applyFont="1" applyFill="1" applyBorder="1" applyAlignment="1" applyProtection="1">
      <alignment horizontal="center" vertical="center"/>
      <protection locked="0"/>
    </xf>
    <xf numFmtId="0" fontId="24" fillId="3" borderId="1" xfId="0" applyFont="1" applyFill="1" applyBorder="1" applyAlignment="1">
      <alignment horizontal="center" vertical="center"/>
    </xf>
    <xf numFmtId="0" fontId="24" fillId="3" borderId="69" xfId="0" applyFont="1" applyFill="1" applyBorder="1" applyAlignment="1">
      <alignment horizontal="center" vertical="center"/>
    </xf>
    <xf numFmtId="0" fontId="24" fillId="3" borderId="70" xfId="0" applyFont="1" applyFill="1" applyBorder="1" applyAlignment="1">
      <alignment horizontal="center" vertical="center" textRotation="90" wrapText="1"/>
    </xf>
    <xf numFmtId="0" fontId="24" fillId="3" borderId="1" xfId="0" applyFont="1" applyFill="1" applyBorder="1" applyAlignment="1">
      <alignment horizontal="center" vertical="center" textRotation="90" wrapText="1"/>
    </xf>
    <xf numFmtId="0" fontId="24" fillId="3" borderId="69" xfId="0" applyFont="1" applyFill="1" applyBorder="1" applyAlignment="1">
      <alignment horizontal="center" vertical="center" textRotation="90" wrapText="1"/>
    </xf>
    <xf numFmtId="0" fontId="21" fillId="2" borderId="132" xfId="0" applyFont="1" applyFill="1" applyBorder="1" applyAlignment="1" applyProtection="1">
      <alignment horizontal="center" vertical="center"/>
      <protection locked="0"/>
    </xf>
    <xf numFmtId="0" fontId="24" fillId="3" borderId="134" xfId="0" applyFont="1" applyFill="1" applyBorder="1" applyAlignment="1">
      <alignment horizontal="left" vertical="top" wrapText="1"/>
    </xf>
    <xf numFmtId="0" fontId="25" fillId="3" borderId="136" xfId="0" applyFont="1" applyFill="1" applyBorder="1" applyAlignment="1">
      <alignment horizontal="left" vertical="top" wrapText="1"/>
    </xf>
    <xf numFmtId="0" fontId="25" fillId="3" borderId="138" xfId="0" applyFont="1" applyFill="1" applyBorder="1" applyAlignment="1">
      <alignment horizontal="left" vertical="top" wrapText="1"/>
    </xf>
    <xf numFmtId="0" fontId="24" fillId="3" borderId="70"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69" xfId="0" applyFont="1" applyFill="1" applyBorder="1" applyAlignment="1">
      <alignment horizontal="center" vertical="center" wrapText="1"/>
    </xf>
    <xf numFmtId="0" fontId="24" fillId="3" borderId="70" xfId="0" applyFont="1" applyFill="1" applyBorder="1" applyAlignment="1">
      <alignment horizontal="center" vertical="center"/>
    </xf>
    <xf numFmtId="0" fontId="24" fillId="3" borderId="1" xfId="0" applyFont="1" applyFill="1" applyBorder="1" applyAlignment="1" applyProtection="1">
      <alignment horizontal="center" vertical="center" textRotation="90" wrapText="1"/>
      <protection locked="0"/>
    </xf>
    <xf numFmtId="0" fontId="24" fillId="3" borderId="2" xfId="0" applyFont="1" applyFill="1" applyBorder="1" applyAlignment="1" applyProtection="1">
      <alignment horizontal="center" vertical="center" textRotation="90" wrapText="1"/>
      <protection locked="0"/>
    </xf>
    <xf numFmtId="0" fontId="24" fillId="3" borderId="1" xfId="0" applyFont="1" applyFill="1" applyBorder="1" applyAlignment="1" applyProtection="1">
      <alignment horizontal="center" vertical="center"/>
      <protection locked="0"/>
    </xf>
    <xf numFmtId="0" fontId="24" fillId="3" borderId="2"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24" fillId="3" borderId="2" xfId="0" applyFont="1" applyFill="1" applyBorder="1" applyAlignment="1" applyProtection="1">
      <alignment horizontal="center" vertical="center" wrapText="1"/>
      <protection locked="0"/>
    </xf>
    <xf numFmtId="0" fontId="24" fillId="3" borderId="26" xfId="0" applyFont="1" applyFill="1" applyBorder="1" applyAlignment="1" applyProtection="1">
      <alignment horizontal="center" vertical="center"/>
      <protection locked="0"/>
    </xf>
    <xf numFmtId="0" fontId="24" fillId="3" borderId="2"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4" fillId="3" borderId="70" xfId="0" applyFont="1" applyFill="1" applyBorder="1" applyAlignment="1" applyProtection="1">
      <alignment horizontal="center" vertical="center" wrapText="1"/>
      <protection locked="0"/>
    </xf>
    <xf numFmtId="0" fontId="24" fillId="3" borderId="1" xfId="0" applyFont="1" applyFill="1" applyBorder="1" applyAlignment="1" applyProtection="1">
      <alignment horizontal="center" vertical="center" wrapText="1"/>
      <protection locked="0"/>
    </xf>
    <xf numFmtId="0" fontId="24" fillId="3" borderId="69" xfId="0" applyFont="1" applyFill="1" applyBorder="1" applyAlignment="1" applyProtection="1">
      <alignment horizontal="center" vertical="center" wrapText="1"/>
      <protection locked="0"/>
    </xf>
    <xf numFmtId="0" fontId="24" fillId="3" borderId="64" xfId="0" applyFont="1" applyFill="1" applyBorder="1" applyAlignment="1">
      <alignment horizontal="center" vertical="center" wrapText="1"/>
    </xf>
    <xf numFmtId="0" fontId="24" fillId="3" borderId="70" xfId="0" applyFont="1" applyFill="1" applyBorder="1" applyAlignment="1" applyProtection="1">
      <alignment horizontal="center" vertical="center" textRotation="90" wrapText="1"/>
      <protection locked="0"/>
    </xf>
    <xf numFmtId="0" fontId="24" fillId="3" borderId="69" xfId="0" applyFont="1" applyFill="1" applyBorder="1" applyAlignment="1" applyProtection="1">
      <alignment horizontal="center" vertical="center" textRotation="90" wrapText="1"/>
      <protection locked="0"/>
    </xf>
    <xf numFmtId="0" fontId="24" fillId="3" borderId="94" xfId="0" applyFont="1" applyFill="1" applyBorder="1" applyAlignment="1" applyProtection="1">
      <alignment horizontal="center" vertical="center"/>
      <protection locked="0"/>
    </xf>
    <xf numFmtId="0" fontId="24" fillId="3" borderId="95" xfId="0" applyFont="1" applyFill="1" applyBorder="1" applyAlignment="1" applyProtection="1">
      <alignment horizontal="center" vertical="center"/>
      <protection locked="0"/>
    </xf>
    <xf numFmtId="0" fontId="24" fillId="3" borderId="69" xfId="0" applyFont="1" applyFill="1" applyBorder="1" applyAlignment="1" applyProtection="1">
      <alignment horizontal="center" vertical="center"/>
      <protection locked="0"/>
    </xf>
    <xf numFmtId="168" fontId="25" fillId="0" borderId="0" xfId="0" applyNumberFormat="1" applyFont="1" applyAlignment="1" applyProtection="1">
      <alignment horizontal="center" vertical="center" wrapText="1"/>
      <protection hidden="1"/>
    </xf>
    <xf numFmtId="0" fontId="26" fillId="7" borderId="27" xfId="0" applyFont="1" applyFill="1" applyBorder="1" applyAlignment="1">
      <alignment horizontal="left" vertical="top" wrapText="1"/>
    </xf>
    <xf numFmtId="0" fontId="24" fillId="7" borderId="27" xfId="0" applyFont="1" applyFill="1" applyBorder="1" applyAlignment="1">
      <alignment horizontal="left" vertical="top" wrapText="1"/>
    </xf>
    <xf numFmtId="0" fontId="26" fillId="7" borderId="71" xfId="0" applyFont="1" applyFill="1" applyBorder="1" applyAlignment="1">
      <alignment horizontal="left" vertical="top" wrapText="1"/>
    </xf>
    <xf numFmtId="0" fontId="24" fillId="7" borderId="92" xfId="0" applyFont="1" applyFill="1" applyBorder="1" applyAlignment="1" applyProtection="1">
      <alignment horizontal="center" vertical="center" textRotation="90" wrapText="1"/>
      <protection hidden="1"/>
    </xf>
    <xf numFmtId="0" fontId="24" fillId="7" borderId="93" xfId="0" applyFont="1" applyFill="1" applyBorder="1" applyAlignment="1" applyProtection="1">
      <alignment horizontal="center" vertical="center" textRotation="90" wrapText="1"/>
      <protection hidden="1"/>
    </xf>
    <xf numFmtId="0" fontId="24" fillId="7" borderId="92" xfId="0" applyFont="1" applyFill="1" applyBorder="1" applyAlignment="1">
      <alignment horizontal="center" vertical="center" textRotation="90" wrapText="1"/>
    </xf>
    <xf numFmtId="0" fontId="24" fillId="7" borderId="93" xfId="0" applyFont="1" applyFill="1" applyBorder="1" applyAlignment="1">
      <alignment horizontal="center" vertical="center" textRotation="90" wrapText="1"/>
    </xf>
    <xf numFmtId="0" fontId="24" fillId="7" borderId="0" xfId="0" applyFont="1" applyFill="1" applyAlignment="1">
      <alignment horizontal="center" vertical="center"/>
    </xf>
    <xf numFmtId="0" fontId="21" fillId="0" borderId="70" xfId="0" applyFont="1" applyBorder="1" applyAlignment="1">
      <alignment horizontal="justify" vertical="top" wrapText="1"/>
    </xf>
    <xf numFmtId="0" fontId="21" fillId="0" borderId="1" xfId="0" applyFont="1" applyBorder="1" applyAlignment="1">
      <alignment horizontal="justify" vertical="top" wrapText="1"/>
    </xf>
    <xf numFmtId="0" fontId="21" fillId="0" borderId="69" xfId="0" applyFont="1" applyBorder="1" applyAlignment="1">
      <alignment horizontal="justify" vertical="top" wrapText="1"/>
    </xf>
    <xf numFmtId="0" fontId="21" fillId="0" borderId="68" xfId="0" applyFont="1" applyBorder="1" applyAlignment="1" applyProtection="1">
      <alignment horizontal="justify" vertical="top" wrapText="1"/>
      <protection locked="0"/>
    </xf>
    <xf numFmtId="0" fontId="21" fillId="0" borderId="1" xfId="0" applyFont="1" applyBorder="1" applyAlignment="1" applyProtection="1">
      <alignment horizontal="justify" vertical="top" wrapText="1"/>
      <protection locked="0"/>
    </xf>
    <xf numFmtId="0" fontId="21" fillId="0" borderId="69" xfId="0" applyFont="1" applyBorder="1" applyAlignment="1" applyProtection="1">
      <alignment horizontal="justify" vertical="top" wrapText="1"/>
      <protection locked="0"/>
    </xf>
    <xf numFmtId="0" fontId="24" fillId="7" borderId="27" xfId="0" applyFont="1" applyFill="1" applyBorder="1" applyAlignment="1">
      <alignment horizontal="center" vertical="center"/>
    </xf>
    <xf numFmtId="0" fontId="21" fillId="0" borderId="68" xfId="0" applyFont="1" applyBorder="1" applyAlignment="1">
      <alignment horizontal="justify" vertical="top" wrapText="1"/>
    </xf>
    <xf numFmtId="0" fontId="24" fillId="7" borderId="27" xfId="0" applyFont="1" applyFill="1" applyBorder="1" applyAlignment="1">
      <alignment horizontal="center" vertical="center" wrapText="1"/>
    </xf>
    <xf numFmtId="0" fontId="24" fillId="7" borderId="27" xfId="0" applyFont="1" applyFill="1" applyBorder="1" applyAlignment="1" applyProtection="1">
      <alignment horizontal="center" vertical="center" wrapText="1"/>
      <protection locked="0"/>
    </xf>
    <xf numFmtId="0" fontId="24" fillId="7" borderId="27" xfId="0" applyFont="1" applyFill="1" applyBorder="1" applyAlignment="1" applyProtection="1">
      <alignment horizontal="center" vertical="center"/>
      <protection locked="0"/>
    </xf>
    <xf numFmtId="0" fontId="24" fillId="7" borderId="27" xfId="0" applyFont="1" applyFill="1" applyBorder="1" applyAlignment="1" applyProtection="1">
      <alignment horizontal="center" vertical="center" textRotation="90" wrapText="1"/>
      <protection locked="0"/>
    </xf>
    <xf numFmtId="0" fontId="21" fillId="0" borderId="3" xfId="0" applyFont="1" applyBorder="1" applyAlignment="1">
      <alignment horizontal="justify" vertical="top" wrapText="1"/>
    </xf>
    <xf numFmtId="0" fontId="24" fillId="7" borderId="27" xfId="0" applyFont="1" applyFill="1" applyBorder="1" applyAlignment="1">
      <alignment horizontal="center" vertical="center" textRotation="90" wrapText="1"/>
    </xf>
    <xf numFmtId="0" fontId="19" fillId="0" borderId="127" xfId="0" applyFont="1" applyBorder="1" applyAlignment="1">
      <alignment horizontal="left" vertical="top" wrapText="1"/>
    </xf>
    <xf numFmtId="0" fontId="19" fillId="0" borderId="128" xfId="0" applyFont="1" applyBorder="1" applyAlignment="1">
      <alignment horizontal="left" vertical="top" wrapText="1"/>
    </xf>
    <xf numFmtId="0" fontId="19" fillId="0" borderId="129" xfId="0" applyFont="1" applyBorder="1" applyAlignment="1">
      <alignment horizontal="left" vertical="top" wrapText="1"/>
    </xf>
    <xf numFmtId="0" fontId="19" fillId="0" borderId="64" xfId="0" applyFont="1" applyBorder="1" applyAlignment="1">
      <alignment horizontal="justify" vertical="top" wrapText="1"/>
    </xf>
    <xf numFmtId="0" fontId="19" fillId="0" borderId="25" xfId="0" applyFont="1" applyBorder="1" applyAlignment="1">
      <alignment horizontal="justify" vertical="top" wrapText="1"/>
    </xf>
    <xf numFmtId="0" fontId="19" fillId="0" borderId="26" xfId="0" applyFont="1" applyBorder="1" applyAlignment="1">
      <alignment horizontal="justify" vertical="top" wrapText="1"/>
    </xf>
    <xf numFmtId="0" fontId="21" fillId="0" borderId="64" xfId="0" applyFont="1" applyBorder="1" applyAlignment="1">
      <alignment horizontal="justify" vertical="top" wrapText="1"/>
    </xf>
    <xf numFmtId="0" fontId="21" fillId="0" borderId="25" xfId="0" applyFont="1" applyBorder="1" applyAlignment="1">
      <alignment horizontal="justify" vertical="top" wrapText="1"/>
    </xf>
    <xf numFmtId="0" fontId="21" fillId="0" borderId="26" xfId="0" applyFont="1" applyBorder="1" applyAlignment="1">
      <alignment horizontal="justify" vertical="top" wrapText="1"/>
    </xf>
    <xf numFmtId="0" fontId="21" fillId="0" borderId="2" xfId="0" applyFont="1" applyBorder="1" applyAlignment="1">
      <alignment horizontal="left" vertical="top" wrapText="1"/>
    </xf>
    <xf numFmtId="0" fontId="21" fillId="0" borderId="25" xfId="0" applyFont="1" applyBorder="1" applyAlignment="1">
      <alignment horizontal="left" vertical="top" wrapText="1"/>
    </xf>
    <xf numFmtId="0" fontId="21" fillId="0" borderId="26" xfId="0" applyFont="1" applyBorder="1" applyAlignment="1">
      <alignment horizontal="left" vertical="top" wrapText="1"/>
    </xf>
    <xf numFmtId="0" fontId="24" fillId="7" borderId="65" xfId="0" applyFont="1" applyFill="1" applyBorder="1" applyAlignment="1">
      <alignment horizontal="center" vertical="center" wrapText="1"/>
    </xf>
    <xf numFmtId="0" fontId="24" fillId="7" borderId="66" xfId="0" applyFont="1" applyFill="1" applyBorder="1" applyAlignment="1">
      <alignment horizontal="center" vertical="center" wrapText="1"/>
    </xf>
    <xf numFmtId="0" fontId="24" fillId="7" borderId="67" xfId="0" applyFont="1" applyFill="1" applyBorder="1" applyAlignment="1">
      <alignment horizontal="center" vertical="center" wrapText="1"/>
    </xf>
    <xf numFmtId="0" fontId="24" fillId="0" borderId="0" xfId="0" applyFont="1" applyAlignment="1">
      <alignment horizontal="left" vertical="center" wrapText="1"/>
    </xf>
    <xf numFmtId="0" fontId="24" fillId="7" borderId="65" xfId="0" applyFont="1" applyFill="1" applyBorder="1" applyAlignment="1" applyProtection="1">
      <alignment horizontal="center" vertical="center" wrapText="1"/>
      <protection locked="0"/>
    </xf>
    <xf numFmtId="0" fontId="24" fillId="7" borderId="66" xfId="0" applyFont="1" applyFill="1" applyBorder="1" applyAlignment="1" applyProtection="1">
      <alignment horizontal="center" vertical="center" wrapText="1"/>
      <protection locked="0"/>
    </xf>
    <xf numFmtId="0" fontId="24" fillId="7" borderId="67" xfId="0" applyFont="1" applyFill="1" applyBorder="1" applyAlignment="1" applyProtection="1">
      <alignment horizontal="center" vertical="center" wrapText="1"/>
      <protection locked="0"/>
    </xf>
    <xf numFmtId="0" fontId="25" fillId="8" borderId="27" xfId="0" applyFont="1" applyFill="1" applyBorder="1" applyAlignment="1">
      <alignment horizontal="left" vertical="center" wrapText="1"/>
    </xf>
    <xf numFmtId="0" fontId="24" fillId="8" borderId="27" xfId="0" applyFont="1" applyFill="1" applyBorder="1" applyAlignment="1">
      <alignment horizontal="left" vertical="center" wrapText="1"/>
    </xf>
    <xf numFmtId="0" fontId="24" fillId="8" borderId="92" xfId="0" applyFont="1" applyFill="1" applyBorder="1" applyAlignment="1" applyProtection="1">
      <alignment horizontal="center" vertical="center" textRotation="90" wrapText="1"/>
      <protection hidden="1"/>
    </xf>
    <xf numFmtId="0" fontId="24" fillId="8" borderId="93" xfId="0" applyFont="1" applyFill="1" applyBorder="1" applyAlignment="1" applyProtection="1">
      <alignment horizontal="center" vertical="center" textRotation="90" wrapText="1"/>
      <protection hidden="1"/>
    </xf>
    <xf numFmtId="0" fontId="24" fillId="8" borderId="92" xfId="0" applyFont="1" applyFill="1" applyBorder="1" applyAlignment="1">
      <alignment horizontal="center" vertical="center" textRotation="90" wrapText="1"/>
    </xf>
    <xf numFmtId="0" fontId="24" fillId="8" borderId="93" xfId="0" applyFont="1" applyFill="1" applyBorder="1" applyAlignment="1">
      <alignment horizontal="center" vertical="center" textRotation="90" wrapText="1"/>
    </xf>
    <xf numFmtId="0" fontId="19" fillId="0" borderId="16"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24" fillId="8" borderId="0" xfId="0" applyFont="1" applyFill="1" applyAlignment="1">
      <alignment horizontal="center" vertical="center"/>
    </xf>
    <xf numFmtId="0" fontId="24" fillId="8" borderId="27" xfId="0" applyFont="1" applyFill="1" applyBorder="1" applyAlignment="1">
      <alignment horizontal="center" vertical="center" wrapText="1"/>
    </xf>
    <xf numFmtId="0" fontId="21" fillId="0" borderId="17"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4" fillId="8" borderId="27" xfId="0" applyFont="1" applyFill="1" applyBorder="1" applyAlignment="1">
      <alignment horizontal="center" vertical="center"/>
    </xf>
    <xf numFmtId="0" fontId="24" fillId="8" borderId="27" xfId="0" applyFont="1" applyFill="1" applyBorder="1" applyAlignment="1">
      <alignment horizontal="center" vertical="center" textRotation="90" wrapText="1"/>
    </xf>
    <xf numFmtId="0" fontId="24" fillId="8" borderId="65" xfId="0" applyFont="1" applyFill="1" applyBorder="1" applyAlignment="1">
      <alignment horizontal="center" vertical="center" wrapText="1"/>
    </xf>
    <xf numFmtId="0" fontId="24" fillId="8" borderId="66" xfId="0" applyFont="1" applyFill="1" applyBorder="1" applyAlignment="1">
      <alignment horizontal="center" vertical="center" wrapText="1"/>
    </xf>
    <xf numFmtId="0" fontId="24" fillId="8" borderId="67" xfId="0" applyFont="1" applyFill="1" applyBorder="1" applyAlignment="1">
      <alignment horizontal="center" vertical="center" wrapText="1"/>
    </xf>
    <xf numFmtId="0" fontId="24" fillId="8" borderId="27" xfId="0" applyFont="1" applyFill="1" applyBorder="1" applyAlignment="1" applyProtection="1">
      <alignment horizontal="center" vertical="center" wrapText="1"/>
      <protection locked="0"/>
    </xf>
    <xf numFmtId="0" fontId="24" fillId="8" borderId="27" xfId="0" applyFont="1" applyFill="1" applyBorder="1" applyAlignment="1" applyProtection="1">
      <alignment horizontal="center" vertical="center"/>
      <protection locked="0"/>
    </xf>
    <xf numFmtId="0" fontId="19" fillId="0" borderId="16" xfId="0" applyFont="1" applyBorder="1" applyAlignment="1" applyProtection="1">
      <alignment horizontal="center" vertical="top" wrapText="1"/>
      <protection locked="0"/>
    </xf>
    <xf numFmtId="0" fontId="19" fillId="0" borderId="14" xfId="0" applyFont="1" applyBorder="1" applyAlignment="1" applyProtection="1">
      <alignment horizontal="center" vertical="top" wrapText="1"/>
      <protection locked="0"/>
    </xf>
    <xf numFmtId="0" fontId="19" fillId="0" borderId="15" xfId="0" applyFont="1" applyBorder="1" applyAlignment="1" applyProtection="1">
      <alignment horizontal="center" vertical="top" wrapText="1"/>
      <protection locked="0"/>
    </xf>
    <xf numFmtId="0" fontId="19" fillId="0" borderId="41" xfId="0" quotePrefix="1" applyFont="1" applyBorder="1" applyAlignment="1">
      <alignment vertical="top" wrapText="1"/>
    </xf>
    <xf numFmtId="0" fontId="19" fillId="0" borderId="42" xfId="0" applyFont="1" applyBorder="1" applyAlignment="1">
      <alignment vertical="top" wrapText="1"/>
    </xf>
    <xf numFmtId="0" fontId="19" fillId="0" borderId="43" xfId="0" applyFont="1" applyBorder="1" applyAlignment="1">
      <alignment vertical="top" wrapText="1"/>
    </xf>
    <xf numFmtId="0" fontId="24" fillId="8" borderId="27" xfId="0" applyFont="1" applyFill="1" applyBorder="1" applyAlignment="1" applyProtection="1">
      <alignment horizontal="center" vertical="center" textRotation="90" wrapText="1"/>
      <protection locked="0"/>
    </xf>
    <xf numFmtId="0" fontId="24" fillId="8" borderId="65" xfId="0" applyFont="1" applyFill="1" applyBorder="1" applyAlignment="1" applyProtection="1">
      <alignment horizontal="center" vertical="center" wrapText="1"/>
      <protection locked="0"/>
    </xf>
    <xf numFmtId="0" fontId="24" fillId="8" borderId="66" xfId="0" applyFont="1" applyFill="1" applyBorder="1" applyAlignment="1" applyProtection="1">
      <alignment horizontal="center" vertical="center" wrapText="1"/>
      <protection locked="0"/>
    </xf>
    <xf numFmtId="0" fontId="24" fillId="8" borderId="67" xfId="0" applyFont="1" applyFill="1" applyBorder="1" applyAlignment="1" applyProtection="1">
      <alignment horizontal="center" vertical="center" wrapText="1"/>
      <protection locked="0"/>
    </xf>
    <xf numFmtId="167" fontId="24" fillId="0" borderId="0" xfId="0" applyNumberFormat="1" applyFont="1" applyAlignment="1">
      <alignment horizontal="center" vertical="center" textRotation="90" wrapText="1"/>
    </xf>
    <xf numFmtId="167" fontId="25" fillId="0" borderId="0" xfId="0" applyNumberFormat="1" applyFont="1" applyAlignment="1" applyProtection="1">
      <alignment horizontal="center" vertical="center" wrapText="1"/>
      <protection hidden="1"/>
    </xf>
    <xf numFmtId="167" fontId="24" fillId="0" borderId="0" xfId="0" applyNumberFormat="1" applyFont="1" applyAlignment="1" applyProtection="1">
      <alignment horizontal="center" vertical="center" textRotation="90" wrapText="1"/>
      <protection hidden="1"/>
    </xf>
    <xf numFmtId="0" fontId="33" fillId="18" borderId="94" xfId="3" applyFont="1" applyFill="1" applyBorder="1" applyAlignment="1">
      <alignment horizontal="center" vertical="center"/>
    </xf>
    <xf numFmtId="0" fontId="33" fillId="18" borderId="95" xfId="3" applyFont="1" applyFill="1" applyBorder="1" applyAlignment="1">
      <alignment horizontal="center" vertical="center"/>
    </xf>
    <xf numFmtId="0" fontId="33" fillId="18" borderId="118" xfId="3" applyFont="1" applyFill="1" applyBorder="1" applyAlignment="1">
      <alignment horizontal="center" vertical="center"/>
    </xf>
    <xf numFmtId="0" fontId="32" fillId="18" borderId="126" xfId="3" applyFont="1" applyFill="1" applyBorder="1" applyAlignment="1">
      <alignment horizontal="center" vertical="center" wrapText="1"/>
    </xf>
    <xf numFmtId="0" fontId="32" fillId="18" borderId="123" xfId="3" applyFont="1" applyFill="1" applyBorder="1" applyAlignment="1">
      <alignment horizontal="center" vertical="center" wrapText="1"/>
    </xf>
    <xf numFmtId="9" fontId="41" fillId="2" borderId="64" xfId="3" applyNumberFormat="1" applyFont="1" applyFill="1" applyBorder="1" applyAlignment="1" applyProtection="1">
      <alignment horizontal="center" vertical="center"/>
      <protection hidden="1"/>
    </xf>
    <xf numFmtId="9" fontId="41" fillId="2" borderId="25" xfId="3" applyNumberFormat="1" applyFont="1" applyFill="1" applyBorder="1" applyAlignment="1" applyProtection="1">
      <alignment horizontal="center" vertical="center"/>
      <protection hidden="1"/>
    </xf>
    <xf numFmtId="9" fontId="41" fillId="2" borderId="3" xfId="3" applyNumberFormat="1" applyFont="1" applyFill="1" applyBorder="1" applyAlignment="1" applyProtection="1">
      <alignment horizontal="center" vertical="center"/>
      <protection hidden="1"/>
    </xf>
    <xf numFmtId="9" fontId="41" fillId="2" borderId="2" xfId="3" applyNumberFormat="1" applyFont="1" applyFill="1" applyBorder="1" applyAlignment="1" applyProtection="1">
      <alignment horizontal="center" vertical="center"/>
      <protection hidden="1"/>
    </xf>
    <xf numFmtId="0" fontId="15" fillId="15" borderId="141" xfId="3" applyFont="1" applyFill="1" applyBorder="1" applyAlignment="1">
      <alignment horizontal="center" vertical="center"/>
    </xf>
    <xf numFmtId="0" fontId="15" fillId="15" borderId="72" xfId="3" applyFont="1" applyFill="1" applyBorder="1" applyAlignment="1">
      <alignment horizontal="center" vertical="center"/>
    </xf>
    <xf numFmtId="0" fontId="11" fillId="0" borderId="72" xfId="3" applyFont="1" applyBorder="1" applyAlignment="1">
      <alignment horizontal="justify" vertical="center" wrapText="1"/>
    </xf>
    <xf numFmtId="0" fontId="48" fillId="3" borderId="98" xfId="0" applyFont="1" applyFill="1" applyBorder="1" applyAlignment="1">
      <alignment horizontal="center" vertical="center"/>
    </xf>
    <xf numFmtId="0" fontId="48" fillId="3" borderId="99" xfId="0" applyFont="1" applyFill="1" applyBorder="1" applyAlignment="1">
      <alignment horizontal="center" vertical="center"/>
    </xf>
    <xf numFmtId="0" fontId="48" fillId="3" borderId="100" xfId="0" applyFont="1" applyFill="1" applyBorder="1" applyAlignment="1">
      <alignment horizontal="center" vertical="center"/>
    </xf>
    <xf numFmtId="0" fontId="33" fillId="3" borderId="149" xfId="3" applyFont="1" applyFill="1" applyBorder="1" applyAlignment="1">
      <alignment horizontal="center" vertical="center" wrapText="1"/>
    </xf>
    <xf numFmtId="0" fontId="33" fillId="3" borderId="150" xfId="3" applyFont="1" applyFill="1" applyBorder="1" applyAlignment="1">
      <alignment horizontal="center" vertical="center" wrapText="1"/>
    </xf>
    <xf numFmtId="0" fontId="15" fillId="16" borderId="146" xfId="3" applyFont="1" applyFill="1" applyBorder="1" applyAlignment="1">
      <alignment horizontal="center" vertical="center"/>
    </xf>
    <xf numFmtId="0" fontId="15" fillId="16" borderId="147" xfId="3" applyFont="1" applyFill="1" applyBorder="1" applyAlignment="1">
      <alignment horizontal="center" vertical="center"/>
    </xf>
    <xf numFmtId="0" fontId="11" fillId="0" borderId="147" xfId="3" applyFont="1" applyBorder="1" applyAlignment="1">
      <alignment horizontal="justify" vertical="center" wrapText="1"/>
    </xf>
    <xf numFmtId="0" fontId="33" fillId="3" borderId="151" xfId="3" applyFont="1" applyFill="1" applyBorder="1" applyAlignment="1">
      <alignment horizontal="center" vertical="center" wrapText="1"/>
    </xf>
    <xf numFmtId="0" fontId="11" fillId="0" borderId="148" xfId="3" applyFont="1" applyBorder="1" applyAlignment="1">
      <alignment horizontal="justify" vertical="center" wrapText="1"/>
    </xf>
    <xf numFmtId="0" fontId="11" fillId="0" borderId="142" xfId="3" applyFont="1" applyBorder="1" applyAlignment="1">
      <alignment horizontal="justify" vertical="center" wrapText="1"/>
    </xf>
    <xf numFmtId="0" fontId="15" fillId="13" borderId="143" xfId="3" applyFont="1" applyFill="1" applyBorder="1" applyAlignment="1">
      <alignment horizontal="center" vertical="center" wrapText="1"/>
    </xf>
    <xf numFmtId="0" fontId="15" fillId="13" borderId="144" xfId="3" applyFont="1" applyFill="1" applyBorder="1" applyAlignment="1">
      <alignment horizontal="center" vertical="center"/>
    </xf>
    <xf numFmtId="0" fontId="11" fillId="0" borderId="144" xfId="3" applyFont="1" applyBorder="1" applyAlignment="1">
      <alignment horizontal="justify" vertical="center" wrapText="1"/>
    </xf>
    <xf numFmtId="0" fontId="32" fillId="18" borderId="87" xfId="3" applyFont="1" applyFill="1" applyBorder="1" applyAlignment="1">
      <alignment horizontal="center" vertical="center" wrapText="1"/>
    </xf>
    <xf numFmtId="0" fontId="32" fillId="18" borderId="89" xfId="3" applyFont="1" applyFill="1" applyBorder="1" applyAlignment="1">
      <alignment horizontal="center" vertical="center" wrapText="1"/>
    </xf>
    <xf numFmtId="0" fontId="15" fillId="14" borderId="141" xfId="3" applyFont="1" applyFill="1" applyBorder="1" applyAlignment="1">
      <alignment horizontal="center" vertical="center" wrapText="1"/>
    </xf>
    <xf numFmtId="0" fontId="15" fillId="14" borderId="72" xfId="3" applyFont="1" applyFill="1" applyBorder="1" applyAlignment="1">
      <alignment horizontal="center" vertical="center"/>
    </xf>
    <xf numFmtId="0" fontId="32" fillId="3" borderId="17" xfId="3" applyFont="1" applyFill="1" applyBorder="1" applyAlignment="1">
      <alignment horizontal="center" vertical="center" wrapText="1"/>
    </xf>
    <xf numFmtId="0" fontId="32" fillId="3" borderId="24" xfId="3" applyFont="1" applyFill="1" applyBorder="1" applyAlignment="1">
      <alignment horizontal="center" vertical="center" wrapText="1"/>
    </xf>
    <xf numFmtId="0" fontId="11" fillId="0" borderId="145" xfId="3" applyFont="1" applyBorder="1" applyAlignment="1">
      <alignment horizontal="justify" vertical="center" wrapText="1"/>
    </xf>
    <xf numFmtId="0" fontId="31" fillId="2" borderId="0" xfId="0" applyFont="1" applyFill="1" applyAlignment="1" applyProtection="1">
      <alignment horizontal="left" vertical="center" wrapText="1"/>
      <protection locked="0"/>
    </xf>
    <xf numFmtId="0" fontId="32" fillId="3" borderId="16" xfId="3" applyFont="1" applyFill="1" applyBorder="1" applyAlignment="1">
      <alignment horizontal="center" vertical="center" wrapText="1"/>
    </xf>
    <xf numFmtId="0" fontId="32" fillId="3" borderId="15" xfId="3" applyFont="1" applyFill="1" applyBorder="1" applyAlignment="1">
      <alignment horizontal="center" vertical="center" wrapText="1"/>
    </xf>
    <xf numFmtId="0" fontId="32" fillId="3" borderId="74" xfId="3" applyFont="1" applyFill="1" applyBorder="1" applyAlignment="1">
      <alignment horizontal="center" vertical="center" wrapText="1"/>
    </xf>
    <xf numFmtId="0" fontId="32" fillId="3" borderId="75" xfId="3" applyFont="1" applyFill="1" applyBorder="1" applyAlignment="1">
      <alignment horizontal="center" vertical="center" wrapText="1"/>
    </xf>
    <xf numFmtId="0" fontId="32" fillId="3" borderId="76" xfId="3" applyFont="1" applyFill="1" applyBorder="1" applyAlignment="1">
      <alignment horizontal="center" vertical="center" wrapText="1"/>
    </xf>
    <xf numFmtId="0" fontId="32" fillId="3" borderId="22" xfId="3" applyFont="1" applyFill="1" applyBorder="1" applyAlignment="1">
      <alignment horizontal="center" vertical="center" wrapText="1"/>
    </xf>
    <xf numFmtId="0" fontId="32" fillId="3" borderId="18" xfId="3" applyFont="1" applyFill="1" applyBorder="1" applyAlignment="1">
      <alignment horizontal="center" vertical="center" wrapText="1"/>
    </xf>
    <xf numFmtId="0" fontId="32" fillId="3" borderId="20" xfId="3" applyFont="1" applyFill="1" applyBorder="1" applyAlignment="1">
      <alignment horizontal="center" vertical="center" wrapText="1"/>
    </xf>
    <xf numFmtId="49" fontId="7" fillId="2" borderId="52" xfId="0" applyNumberFormat="1" applyFont="1" applyFill="1" applyBorder="1" applyAlignment="1">
      <alignment horizontal="left" vertical="center" wrapText="1"/>
    </xf>
    <xf numFmtId="49" fontId="7" fillId="2" borderId="50" xfId="0" applyNumberFormat="1" applyFont="1" applyFill="1" applyBorder="1" applyAlignment="1">
      <alignment horizontal="left" vertical="center" wrapText="1"/>
    </xf>
    <xf numFmtId="49" fontId="56" fillId="0" borderId="49" xfId="0" applyNumberFormat="1" applyFont="1" applyBorder="1" applyAlignment="1" applyProtection="1">
      <alignment horizontal="justify" vertical="center" wrapText="1"/>
      <protection locked="0"/>
    </xf>
    <xf numFmtId="49" fontId="56" fillId="0" borderId="152" xfId="0" applyNumberFormat="1" applyFont="1" applyBorder="1" applyAlignment="1" applyProtection="1">
      <alignment horizontal="justify" vertical="center" wrapText="1"/>
      <protection locked="0"/>
    </xf>
    <xf numFmtId="49" fontId="56" fillId="0" borderId="153" xfId="0" applyNumberFormat="1" applyFont="1" applyBorder="1" applyAlignment="1" applyProtection="1">
      <alignment horizontal="justify" vertical="center" wrapText="1"/>
      <protection locked="0"/>
    </xf>
    <xf numFmtId="49" fontId="7" fillId="2" borderId="53" xfId="0" applyNumberFormat="1" applyFont="1" applyFill="1" applyBorder="1" applyAlignment="1">
      <alignment horizontal="left" vertical="center" wrapText="1"/>
    </xf>
    <xf numFmtId="49" fontId="7" fillId="2" borderId="51" xfId="0" applyNumberFormat="1" applyFont="1" applyFill="1" applyBorder="1" applyAlignment="1">
      <alignment horizontal="left" vertical="center" wrapText="1"/>
    </xf>
    <xf numFmtId="0" fontId="48" fillId="3" borderId="2" xfId="0" applyFont="1" applyFill="1" applyBorder="1" applyAlignment="1">
      <alignment horizontal="center" vertical="center" wrapText="1"/>
    </xf>
    <xf numFmtId="0" fontId="48" fillId="3" borderId="3" xfId="0" applyFont="1" applyFill="1" applyBorder="1" applyAlignment="1">
      <alignment horizontal="center" vertical="center" wrapText="1"/>
    </xf>
    <xf numFmtId="0" fontId="43" fillId="2" borderId="1" xfId="0" applyFont="1" applyFill="1" applyBorder="1" applyAlignment="1" applyProtection="1">
      <alignment horizontal="center" vertical="center"/>
      <protection locked="0"/>
    </xf>
    <xf numFmtId="164" fontId="43" fillId="2" borderId="4" xfId="0" applyNumberFormat="1" applyFont="1" applyFill="1" applyBorder="1" applyAlignment="1" applyProtection="1">
      <alignment horizontal="center" vertical="center"/>
      <protection locked="0"/>
    </xf>
    <xf numFmtId="164" fontId="43" fillId="2" borderId="5" xfId="0" applyNumberFormat="1" applyFont="1" applyFill="1" applyBorder="1" applyAlignment="1" applyProtection="1">
      <alignment horizontal="center" vertical="center"/>
      <protection locked="0"/>
    </xf>
    <xf numFmtId="164" fontId="43" fillId="2" borderId="73" xfId="0" applyNumberFormat="1" applyFont="1" applyFill="1" applyBorder="1" applyAlignment="1" applyProtection="1">
      <alignment horizontal="center" vertical="center"/>
      <protection locked="0"/>
    </xf>
    <xf numFmtId="0" fontId="40" fillId="3" borderId="98" xfId="0" applyFont="1" applyFill="1" applyBorder="1" applyAlignment="1">
      <alignment horizontal="center" vertical="center" wrapText="1"/>
    </xf>
    <xf numFmtId="0" fontId="40" fillId="3" borderId="99" xfId="0" applyFont="1" applyFill="1" applyBorder="1" applyAlignment="1">
      <alignment horizontal="center" vertical="center" wrapText="1"/>
    </xf>
    <xf numFmtId="0" fontId="40" fillId="3" borderId="100" xfId="0" applyFont="1" applyFill="1" applyBorder="1" applyAlignment="1">
      <alignment horizontal="center" vertical="center" wrapText="1"/>
    </xf>
    <xf numFmtId="0" fontId="40" fillId="3" borderId="44" xfId="0" applyFont="1" applyFill="1" applyBorder="1" applyAlignment="1">
      <alignment horizontal="center" vertical="center"/>
    </xf>
    <xf numFmtId="0" fontId="40" fillId="3" borderId="45" xfId="0" applyFont="1" applyFill="1" applyBorder="1" applyAlignment="1">
      <alignment horizontal="center" vertical="center"/>
    </xf>
    <xf numFmtId="0" fontId="40" fillId="3" borderId="46" xfId="0" applyFont="1" applyFill="1" applyBorder="1" applyAlignment="1">
      <alignment horizontal="center" vertical="center"/>
    </xf>
  </cellXfs>
  <cellStyles count="7">
    <cellStyle name="Hipervínculo" xfId="2" builtinId="8"/>
    <cellStyle name="Normal" xfId="0" builtinId="0"/>
    <cellStyle name="Normal - Style1 2" xfId="4" xr:uid="{00000000-0005-0000-0000-000002000000}"/>
    <cellStyle name="Normal 2" xfId="3" xr:uid="{00000000-0005-0000-0000-000003000000}"/>
    <cellStyle name="Normal 2 2" xfId="5" xr:uid="{00000000-0005-0000-0000-000004000000}"/>
    <cellStyle name="Porcentaje" xfId="6" builtinId="5"/>
    <cellStyle name="table_head1" xfId="1" xr:uid="{00000000-0005-0000-0000-000006000000}"/>
  </cellStyles>
  <dxfs count="58">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F0"/>
        </patternFill>
      </fill>
    </dxf>
    <dxf>
      <fill>
        <patternFill>
          <bgColor rgb="FF00B050"/>
        </patternFill>
      </fill>
    </dxf>
    <dxf>
      <fill>
        <patternFill>
          <bgColor rgb="FF92D050"/>
        </patternFill>
      </fill>
    </dxf>
    <dxf>
      <font>
        <color rgb="FF9C0006"/>
      </font>
    </dxf>
    <dxf>
      <font>
        <color rgb="FF9C6500"/>
      </font>
      <fill>
        <patternFill>
          <bgColor rgb="FFFFEB9C"/>
        </patternFill>
      </fill>
    </dxf>
  </dxfs>
  <tableStyles count="0" defaultTableStyle="TableStyleMedium9" defaultPivotStyle="PivotStyleLight16"/>
  <colors>
    <mruColors>
      <color rgb="FFF7C435"/>
      <color rgb="FFFF9900"/>
      <color rgb="FF83A343"/>
      <color rgb="FFFFCC00"/>
      <color rgb="FF2E3917"/>
      <color rgb="FF262F13"/>
      <color rgb="FFF9D367"/>
      <color rgb="FF0035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arget="../media/image1.jpeg" Type="http://schemas.openxmlformats.org/officeDocument/2006/relationships/image"/></Relationships>
</file>

<file path=xl/drawings/_rels/drawing2.xml.rels><?xml version="1.0" encoding="UTF-8" standalone="yes" ?><Relationships xmlns="http://schemas.openxmlformats.org/package/2006/relationships"><Relationship Id="rId1" Target="../media/image2.jpeg" Type="http://schemas.openxmlformats.org/officeDocument/2006/relationships/image"/></Relationships>
</file>

<file path=xl/drawings/_rels/drawing3.xml.rels><?xml version="1.0" encoding="UTF-8" standalone="yes" ?><Relationships xmlns="http://schemas.openxmlformats.org/package/2006/relationships"><Relationship Id="rId1" Target="../media/image3.jpeg" Type="http://schemas.openxmlformats.org/officeDocument/2006/relationships/image"/></Relationships>
</file>

<file path=xl/drawings/_rels/drawing4.xml.rels><?xml version="1.0" encoding="UTF-8" standalone="yes" ?><Relationships xmlns="http://schemas.openxmlformats.org/package/2006/relationships"><Relationship Id="rId1" Target="../media/image4.jpeg" Type="http://schemas.openxmlformats.org/officeDocument/2006/relationships/image"/></Relationships>
</file>

<file path=xl/drawings/_rels/drawing5.xml.rels><?xml version="1.0" encoding="UTF-8" standalone="yes" ?><Relationships xmlns="http://schemas.openxmlformats.org/package/2006/relationships"><Relationship Id="rId1" Target="../media/image5.jpeg" Type="http://schemas.openxmlformats.org/officeDocument/2006/relationships/image"/></Relationships>
</file>

<file path=xl/drawings/_rels/drawing6.xml.rels><?xml version="1.0" encoding="UTF-8" standalone="yes" ?><Relationships xmlns="http://schemas.openxmlformats.org/package/2006/relationships"><Relationship Id="rId1" Target="../media/image6.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4</xdr:col>
      <xdr:colOff>1765300</xdr:colOff>
      <xdr:row>0</xdr:row>
      <xdr:rowOff>0</xdr:rowOff>
    </xdr:from>
    <xdr:to>
      <xdr:col>7</xdr:col>
      <xdr:colOff>2204378</xdr:colOff>
      <xdr:row>16</xdr:row>
      <xdr:rowOff>4250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191500" y="0"/>
          <a:ext cx="3966503" cy="225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1685925</xdr:colOff>
      <xdr:row>0</xdr:row>
      <xdr:rowOff>0</xdr:rowOff>
    </xdr:from>
    <xdr:to>
      <xdr:col>7</xdr:col>
      <xdr:colOff>2377271</xdr:colOff>
      <xdr:row>7</xdr:row>
      <xdr:rowOff>128941</xdr:rowOff>
    </xdr:to>
    <xdr:pic>
      <xdr:nvPicPr>
        <xdr:cNvPr id="9" name="Imagen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534275" y="0"/>
          <a:ext cx="3958421" cy="2186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2809875</xdr:colOff>
      <xdr:row>0</xdr:row>
      <xdr:rowOff>47625</xdr:rowOff>
    </xdr:from>
    <xdr:to>
      <xdr:col>7</xdr:col>
      <xdr:colOff>662771</xdr:colOff>
      <xdr:row>13</xdr:row>
      <xdr:rowOff>157516</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819775" y="47625"/>
          <a:ext cx="3958421" cy="21863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640773</xdr:colOff>
      <xdr:row>0</xdr:row>
      <xdr:rowOff>43296</xdr:rowOff>
    </xdr:from>
    <xdr:to>
      <xdr:col>7</xdr:col>
      <xdr:colOff>874823</xdr:colOff>
      <xdr:row>9</xdr:row>
      <xdr:rowOff>331373</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870864" y="43296"/>
          <a:ext cx="3957459" cy="235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152400</xdr:colOff>
      <xdr:row>0</xdr:row>
      <xdr:rowOff>0</xdr:rowOff>
    </xdr:from>
    <xdr:to>
      <xdr:col>7</xdr:col>
      <xdr:colOff>842784</xdr:colOff>
      <xdr:row>12</xdr:row>
      <xdr:rowOff>63806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00750" y="0"/>
          <a:ext cx="3957459" cy="21497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6</xdr:col>
      <xdr:colOff>1086303</xdr:colOff>
      <xdr:row>14</xdr:row>
      <xdr:rowOff>34633</xdr:rowOff>
    </xdr:to>
    <xdr:pic>
      <xdr:nvPicPr>
        <xdr:cNvPr id="2" name="Imagen 1">
          <a:extLst>
            <a:ext uri="{FF2B5EF4-FFF2-40B4-BE49-F238E27FC236}">
              <a16:creationId xmlns:a16="http://schemas.microsoft.com/office/drawing/2014/main" id="{272673E6-6689-074D-9849-FC2C725FD27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685142" y="1706143"/>
          <a:ext cx="5068661" cy="2405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NTRA-1315/Users/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ONTRA-1315/Users/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NTRA-1315/Users/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CONTRA-1315/Users/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CONTRA-1315/Users/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CONTRA-1315/Users/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ONTRA-1315/Users/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CONTRA-1315/Users/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CONTRA-1315/Users/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RA-1315/Users/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ONTRA-1315/Users/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ONTRA-1315/Users/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CONTRA-1315/Users/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ONTRA-1315/Users/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A-1315/Users/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ONTRA-1315/Users/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ONTRA-1315/Users/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row r="1">
          <cell r="A1">
            <v>8000967341</v>
          </cell>
          <cell r="B1" t="str">
            <v>MUNICIPIO DE MONTERIA</v>
          </cell>
          <cell r="C1">
            <v>14952009</v>
          </cell>
          <cell r="D1">
            <v>-459925449.5</v>
          </cell>
          <cell r="E1">
            <v>0</v>
          </cell>
          <cell r="F1">
            <v>0</v>
          </cell>
          <cell r="G1">
            <v>0</v>
          </cell>
          <cell r="H1">
            <v>-459925449.5</v>
          </cell>
        </row>
        <row r="2">
          <cell r="A2">
            <v>8000967341</v>
          </cell>
          <cell r="B2" t="str">
            <v>MUNICIPIO DE MONTERIA</v>
          </cell>
          <cell r="C2">
            <v>14952001</v>
          </cell>
          <cell r="D2">
            <v>-223824998.5</v>
          </cell>
          <cell r="E2">
            <v>0</v>
          </cell>
          <cell r="F2">
            <v>0</v>
          </cell>
          <cell r="G2">
            <v>0</v>
          </cell>
          <cell r="H2">
            <v>-223824998.5</v>
          </cell>
        </row>
        <row r="3">
          <cell r="A3">
            <v>8000967341</v>
          </cell>
          <cell r="B3" t="str">
            <v>MUNICIPIO DE MONTERIA</v>
          </cell>
          <cell r="C3">
            <v>14633004</v>
          </cell>
          <cell r="D3">
            <v>1220103581</v>
          </cell>
          <cell r="E3">
            <v>0</v>
          </cell>
          <cell r="F3">
            <v>0</v>
          </cell>
          <cell r="G3">
            <v>1220103581</v>
          </cell>
          <cell r="H3">
            <v>0</v>
          </cell>
        </row>
        <row r="4">
          <cell r="A4">
            <v>8000967341</v>
          </cell>
          <cell r="B4" t="str">
            <v>MUNICIPIO DE MONTERIA</v>
          </cell>
          <cell r="C4">
            <v>14631501</v>
          </cell>
          <cell r="D4">
            <v>447649997</v>
          </cell>
          <cell r="E4">
            <v>0</v>
          </cell>
          <cell r="F4">
            <v>0</v>
          </cell>
          <cell r="G4">
            <v>447649997</v>
          </cell>
          <cell r="H4">
            <v>0</v>
          </cell>
        </row>
        <row r="5">
          <cell r="A5">
            <v>8001039331</v>
          </cell>
          <cell r="B5" t="str">
            <v>DEPARTAMENTO DEL VALLE DEL CAUCA</v>
          </cell>
          <cell r="C5">
            <v>14951009</v>
          </cell>
          <cell r="D5">
            <v>-30273138.41</v>
          </cell>
          <cell r="E5">
            <v>0</v>
          </cell>
          <cell r="F5">
            <v>0</v>
          </cell>
          <cell r="G5">
            <v>0</v>
          </cell>
          <cell r="H5">
            <v>-30273138.41</v>
          </cell>
        </row>
        <row r="6">
          <cell r="A6">
            <v>8001039331</v>
          </cell>
          <cell r="B6" t="str">
            <v>DEPARTAMENTO DEL VALLE DEL CAUCA</v>
          </cell>
          <cell r="C6">
            <v>14951001</v>
          </cell>
          <cell r="D6">
            <v>-17239660.5</v>
          </cell>
          <cell r="E6">
            <v>0</v>
          </cell>
          <cell r="F6">
            <v>0</v>
          </cell>
          <cell r="G6">
            <v>0</v>
          </cell>
          <cell r="H6">
            <v>-17239660.5</v>
          </cell>
        </row>
        <row r="7">
          <cell r="A7">
            <v>8001039331</v>
          </cell>
          <cell r="B7" t="str">
            <v>DEPARTAMENTO DEL VALLE DEL CAUCA</v>
          </cell>
          <cell r="C7">
            <v>14603004</v>
          </cell>
          <cell r="D7">
            <v>7903242000</v>
          </cell>
          <cell r="E7">
            <v>0</v>
          </cell>
          <cell r="F7">
            <v>0</v>
          </cell>
          <cell r="G7">
            <v>7903242000</v>
          </cell>
          <cell r="H7">
            <v>0</v>
          </cell>
        </row>
        <row r="8">
          <cell r="A8">
            <v>8001039331</v>
          </cell>
          <cell r="B8" t="str">
            <v>DEPARTAMENTO DEL VALLE DEL CAUCA</v>
          </cell>
          <cell r="C8">
            <v>14601501</v>
          </cell>
          <cell r="D8">
            <v>9868451206.5900002</v>
          </cell>
          <cell r="E8">
            <v>0</v>
          </cell>
          <cell r="F8">
            <v>0</v>
          </cell>
          <cell r="G8">
            <v>9868451206.5900002</v>
          </cell>
          <cell r="H8">
            <v>0</v>
          </cell>
        </row>
        <row r="9">
          <cell r="A9">
            <v>8001039331</v>
          </cell>
          <cell r="B9" t="str">
            <v>DEPARTAMENTO DEL VALLE DEL CAUCA</v>
          </cell>
          <cell r="C9">
            <v>14591501</v>
          </cell>
          <cell r="D9">
            <v>796203612.02999997</v>
          </cell>
          <cell r="E9">
            <v>0</v>
          </cell>
          <cell r="F9">
            <v>0</v>
          </cell>
          <cell r="G9">
            <v>796203612.02999997</v>
          </cell>
          <cell r="H9">
            <v>0</v>
          </cell>
        </row>
        <row r="10">
          <cell r="A10">
            <v>8002130053</v>
          </cell>
          <cell r="B10" t="str">
            <v>TELEOBANDO</v>
          </cell>
          <cell r="C10">
            <v>14591501</v>
          </cell>
          <cell r="D10">
            <v>534375000</v>
          </cell>
          <cell r="E10">
            <v>0</v>
          </cell>
          <cell r="F10">
            <v>0</v>
          </cell>
          <cell r="G10">
            <v>534375000</v>
          </cell>
          <cell r="H10">
            <v>0</v>
          </cell>
        </row>
        <row r="11">
          <cell r="A11">
            <v>8002158072</v>
          </cell>
          <cell r="B11" t="str">
            <v>INSTITUTO NACIONAL DE VIAS</v>
          </cell>
          <cell r="C11">
            <v>14664301</v>
          </cell>
          <cell r="D11">
            <v>7093341424</v>
          </cell>
          <cell r="E11">
            <v>367902280</v>
          </cell>
          <cell r="F11">
            <v>812236826</v>
          </cell>
          <cell r="G11">
            <v>6649006878</v>
          </cell>
          <cell r="H11">
            <v>0</v>
          </cell>
        </row>
        <row r="12">
          <cell r="A12">
            <v>8020076698</v>
          </cell>
          <cell r="B12" t="str">
            <v>TRANSELCA S.A. ESP</v>
          </cell>
          <cell r="C12">
            <v>14661501</v>
          </cell>
          <cell r="D12">
            <v>12000000000</v>
          </cell>
          <cell r="E12">
            <v>0</v>
          </cell>
          <cell r="F12">
            <v>0</v>
          </cell>
          <cell r="G12">
            <v>12000000000</v>
          </cell>
          <cell r="H12">
            <v>0</v>
          </cell>
        </row>
        <row r="13">
          <cell r="A13">
            <v>8110086846</v>
          </cell>
          <cell r="B13" t="str">
            <v>AGUAS DE RIONEGRO S.A. E.S.P.</v>
          </cell>
          <cell r="C13">
            <v>14593004</v>
          </cell>
          <cell r="D13">
            <v>805000000</v>
          </cell>
          <cell r="E13">
            <v>0</v>
          </cell>
          <cell r="F13">
            <v>0</v>
          </cell>
          <cell r="G13">
            <v>805000000</v>
          </cell>
          <cell r="H13">
            <v>0</v>
          </cell>
        </row>
        <row r="14">
          <cell r="A14">
            <v>8150006994</v>
          </cell>
          <cell r="B14" t="str">
            <v>ACUAVIVA S.A. E.S.P.</v>
          </cell>
          <cell r="C14">
            <v>14594305</v>
          </cell>
          <cell r="D14">
            <v>235714287</v>
          </cell>
          <cell r="E14">
            <v>0</v>
          </cell>
          <cell r="F14">
            <v>0</v>
          </cell>
          <cell r="G14">
            <v>235714287</v>
          </cell>
          <cell r="H14">
            <v>0</v>
          </cell>
        </row>
        <row r="15">
          <cell r="A15">
            <v>8150006994</v>
          </cell>
          <cell r="B15" t="str">
            <v>ACUAVIVA S.A. E.S.P.</v>
          </cell>
          <cell r="C15">
            <v>14591501</v>
          </cell>
          <cell r="D15">
            <v>825000000</v>
          </cell>
          <cell r="E15">
            <v>0</v>
          </cell>
          <cell r="F15">
            <v>0</v>
          </cell>
          <cell r="G15">
            <v>825000000</v>
          </cell>
          <cell r="H15">
            <v>0</v>
          </cell>
        </row>
        <row r="16">
          <cell r="A16">
            <v>8901020061</v>
          </cell>
          <cell r="B16" t="str">
            <v>DEPARTAMENTO DEL ATLANTICO</v>
          </cell>
          <cell r="C16">
            <v>14621501</v>
          </cell>
          <cell r="D16">
            <v>0</v>
          </cell>
          <cell r="E16">
            <v>735005623</v>
          </cell>
          <cell r="F16">
            <v>0</v>
          </cell>
          <cell r="G16">
            <v>735005623</v>
          </cell>
          <cell r="H16">
            <v>0</v>
          </cell>
        </row>
        <row r="17">
          <cell r="A17">
            <v>8901020061</v>
          </cell>
          <cell r="B17" t="str">
            <v>DEPARTAMENTO DEL ATLANTICO</v>
          </cell>
          <cell r="C17">
            <v>14591501</v>
          </cell>
          <cell r="D17">
            <v>592173514</v>
          </cell>
          <cell r="E17">
            <v>0</v>
          </cell>
          <cell r="F17">
            <v>5676099</v>
          </cell>
          <cell r="G17">
            <v>586497415</v>
          </cell>
          <cell r="H17">
            <v>0</v>
          </cell>
        </row>
        <row r="18">
          <cell r="A18">
            <v>8901020181</v>
          </cell>
          <cell r="B18" t="str">
            <v>DISTRITO DE BARRANQUILLA</v>
          </cell>
          <cell r="C18">
            <v>14952001</v>
          </cell>
          <cell r="D18">
            <v>-2537309994</v>
          </cell>
          <cell r="E18">
            <v>0</v>
          </cell>
          <cell r="F18">
            <v>0</v>
          </cell>
          <cell r="G18">
            <v>0</v>
          </cell>
          <cell r="H18">
            <v>-2537309994</v>
          </cell>
        </row>
        <row r="19">
          <cell r="A19">
            <v>8901020181</v>
          </cell>
          <cell r="B19" t="str">
            <v>DISTRITO DE BARRANQUILLA</v>
          </cell>
          <cell r="C19">
            <v>14631501</v>
          </cell>
          <cell r="D19">
            <v>3286619994</v>
          </cell>
          <cell r="E19">
            <v>0</v>
          </cell>
          <cell r="F19">
            <v>0</v>
          </cell>
          <cell r="G19">
            <v>3286619994</v>
          </cell>
          <cell r="H19">
            <v>0</v>
          </cell>
        </row>
        <row r="20">
          <cell r="A20">
            <v>8901020181</v>
          </cell>
          <cell r="B20" t="str">
            <v>DISTRITO DE BARRANQUILLA</v>
          </cell>
          <cell r="C20">
            <v>14591501</v>
          </cell>
          <cell r="D20">
            <v>4446126094</v>
          </cell>
          <cell r="E20">
            <v>0</v>
          </cell>
          <cell r="F20">
            <v>0</v>
          </cell>
          <cell r="G20">
            <v>4446126094</v>
          </cell>
          <cell r="H20">
            <v>0</v>
          </cell>
        </row>
        <row r="21">
          <cell r="A21">
            <v>8902012301</v>
          </cell>
          <cell r="B21" t="str">
            <v>ELECTRIFICADORA DE SANTANDER S.A. E.S.P.</v>
          </cell>
          <cell r="C21">
            <v>14594305</v>
          </cell>
          <cell r="D21">
            <v>70000000</v>
          </cell>
          <cell r="E21">
            <v>0</v>
          </cell>
          <cell r="F21">
            <v>35000000</v>
          </cell>
          <cell r="G21">
            <v>35000000</v>
          </cell>
          <cell r="H21">
            <v>0</v>
          </cell>
        </row>
        <row r="22">
          <cell r="A22">
            <v>8902012356</v>
          </cell>
          <cell r="B22" t="str">
            <v>TESORERIA GENERAL DEL DEPARTAMENTO DE SANTANDER</v>
          </cell>
          <cell r="C22">
            <v>14951201</v>
          </cell>
          <cell r="D22">
            <v>-9294040.9100000001</v>
          </cell>
          <cell r="E22">
            <v>355138.44</v>
          </cell>
          <cell r="F22">
            <v>0</v>
          </cell>
          <cell r="G22">
            <v>0</v>
          </cell>
          <cell r="H22">
            <v>-8938902.4700000007</v>
          </cell>
        </row>
        <row r="23">
          <cell r="A23">
            <v>8902012356</v>
          </cell>
          <cell r="B23" t="str">
            <v>TESORERIA GENERAL DEL DEPARTAMENTO DE SANTANDER</v>
          </cell>
          <cell r="C23">
            <v>14601501</v>
          </cell>
          <cell r="D23">
            <v>3098013637.5999999</v>
          </cell>
          <cell r="E23">
            <v>0</v>
          </cell>
          <cell r="F23">
            <v>118379481.23999999</v>
          </cell>
          <cell r="G23">
            <v>2979634156.3600001</v>
          </cell>
          <cell r="H23">
            <v>0</v>
          </cell>
        </row>
        <row r="24">
          <cell r="A24">
            <v>8902012356</v>
          </cell>
          <cell r="B24" t="str">
            <v>TESORERIA GENERAL DEL DEPARTAMENTO DE SANTANDER</v>
          </cell>
          <cell r="C24">
            <v>14591501</v>
          </cell>
          <cell r="D24">
            <v>2011370469.9000001</v>
          </cell>
          <cell r="E24">
            <v>0</v>
          </cell>
          <cell r="F24">
            <v>0</v>
          </cell>
          <cell r="G24">
            <v>2011370469.9000001</v>
          </cell>
          <cell r="H24">
            <v>0</v>
          </cell>
        </row>
        <row r="25">
          <cell r="A25">
            <v>8903990034</v>
          </cell>
          <cell r="B25" t="str">
            <v>EMPRESAS MUNICIPALES DE CALI E.I.C.E. E.S.P.</v>
          </cell>
          <cell r="C25">
            <v>14952501</v>
          </cell>
          <cell r="D25">
            <v>-18218800931</v>
          </cell>
          <cell r="E25">
            <v>0</v>
          </cell>
          <cell r="F25">
            <v>0</v>
          </cell>
          <cell r="G25">
            <v>0</v>
          </cell>
          <cell r="H25">
            <v>-18218800931</v>
          </cell>
        </row>
        <row r="26">
          <cell r="A26">
            <v>8903990034</v>
          </cell>
          <cell r="B26" t="str">
            <v>EMPRESAS MUNICIPALES DE CALI E.I.C.E. E.S.P.</v>
          </cell>
          <cell r="C26">
            <v>14651503</v>
          </cell>
          <cell r="D26">
            <v>18365576317</v>
          </cell>
          <cell r="E26">
            <v>0</v>
          </cell>
          <cell r="F26">
            <v>0</v>
          </cell>
          <cell r="G26">
            <v>18365576317</v>
          </cell>
          <cell r="H26">
            <v>0</v>
          </cell>
        </row>
        <row r="27">
          <cell r="A27">
            <v>8903990113</v>
          </cell>
          <cell r="B27" t="str">
            <v>TESORERIA MUNICIPAL DE CALI</v>
          </cell>
          <cell r="C27">
            <v>14952201</v>
          </cell>
          <cell r="D27">
            <v>-4904354703.5</v>
          </cell>
          <cell r="E27">
            <v>0</v>
          </cell>
          <cell r="F27">
            <v>0</v>
          </cell>
          <cell r="G27">
            <v>0</v>
          </cell>
          <cell r="H27">
            <v>-4904354703.5</v>
          </cell>
        </row>
        <row r="28">
          <cell r="A28">
            <v>8903990113</v>
          </cell>
          <cell r="B28" t="str">
            <v>TESORERIA MUNICIPAL DE CALI</v>
          </cell>
          <cell r="C28">
            <v>14691501</v>
          </cell>
          <cell r="D28">
            <v>9808709407</v>
          </cell>
          <cell r="E28">
            <v>0</v>
          </cell>
          <cell r="F28">
            <v>0</v>
          </cell>
          <cell r="G28">
            <v>9808709407</v>
          </cell>
          <cell r="H28">
            <v>0</v>
          </cell>
        </row>
        <row r="29">
          <cell r="A29">
            <v>8903990113</v>
          </cell>
          <cell r="B29" t="str">
            <v>TESORERIA MUNICIPAL DE CALI</v>
          </cell>
          <cell r="C29">
            <v>14661501</v>
          </cell>
          <cell r="D29">
            <v>11405165800</v>
          </cell>
          <cell r="E29">
            <v>0</v>
          </cell>
          <cell r="F29">
            <v>0</v>
          </cell>
          <cell r="G29">
            <v>11405165800</v>
          </cell>
          <cell r="H29">
            <v>0</v>
          </cell>
        </row>
        <row r="30">
          <cell r="A30">
            <v>8903990303</v>
          </cell>
          <cell r="B30" t="str">
            <v>EMSIRVA E.S.P.</v>
          </cell>
          <cell r="C30">
            <v>14601501</v>
          </cell>
          <cell r="D30">
            <v>1346528000</v>
          </cell>
          <cell r="E30">
            <v>0</v>
          </cell>
          <cell r="F30">
            <v>336632000</v>
          </cell>
          <cell r="G30">
            <v>1009896000</v>
          </cell>
          <cell r="H30">
            <v>0</v>
          </cell>
        </row>
        <row r="31">
          <cell r="A31">
            <v>8903990453</v>
          </cell>
          <cell r="B31" t="str">
            <v>MUNICIPIO DE BUENAVENTURA</v>
          </cell>
          <cell r="C31">
            <v>14952201</v>
          </cell>
          <cell r="D31">
            <v>-15730417</v>
          </cell>
          <cell r="E31">
            <v>0</v>
          </cell>
          <cell r="F31">
            <v>0</v>
          </cell>
          <cell r="G31">
            <v>0</v>
          </cell>
          <cell r="H31">
            <v>-15730417</v>
          </cell>
        </row>
        <row r="32">
          <cell r="A32">
            <v>8903990453</v>
          </cell>
          <cell r="B32" t="str">
            <v>MUNICIPIO DE BUENAVENTURA</v>
          </cell>
          <cell r="C32">
            <v>14952001</v>
          </cell>
          <cell r="D32">
            <v>-634924979.02999997</v>
          </cell>
          <cell r="E32">
            <v>0</v>
          </cell>
          <cell r="F32">
            <v>0</v>
          </cell>
          <cell r="G32">
            <v>0</v>
          </cell>
          <cell r="H32">
            <v>-634924979.02999997</v>
          </cell>
        </row>
        <row r="33">
          <cell r="A33">
            <v>8903990453</v>
          </cell>
          <cell r="B33" t="str">
            <v>MUNICIPIO DE BUENAVENTURA</v>
          </cell>
          <cell r="C33">
            <v>14691503</v>
          </cell>
          <cell r="D33">
            <v>293171895</v>
          </cell>
          <cell r="E33">
            <v>0</v>
          </cell>
          <cell r="F33">
            <v>0</v>
          </cell>
          <cell r="G33">
            <v>293171895</v>
          </cell>
          <cell r="H33">
            <v>0</v>
          </cell>
        </row>
        <row r="34">
          <cell r="A34">
            <v>8903990453</v>
          </cell>
          <cell r="B34" t="str">
            <v>MUNICIPIO DE BUENAVENTURA</v>
          </cell>
          <cell r="C34">
            <v>14631503</v>
          </cell>
          <cell r="D34">
            <v>127194000</v>
          </cell>
          <cell r="E34">
            <v>0</v>
          </cell>
          <cell r="F34">
            <v>0</v>
          </cell>
          <cell r="G34">
            <v>127194000</v>
          </cell>
          <cell r="H34">
            <v>0</v>
          </cell>
        </row>
        <row r="35">
          <cell r="A35">
            <v>8903990453</v>
          </cell>
          <cell r="B35" t="str">
            <v>MUNICIPIO DE BUENAVENTURA</v>
          </cell>
          <cell r="C35">
            <v>14631501</v>
          </cell>
          <cell r="D35">
            <v>1015461958.0599999</v>
          </cell>
          <cell r="E35">
            <v>0</v>
          </cell>
          <cell r="F35">
            <v>0</v>
          </cell>
          <cell r="G35">
            <v>1015461958.0599999</v>
          </cell>
          <cell r="H35">
            <v>0</v>
          </cell>
        </row>
        <row r="36">
          <cell r="A36">
            <v>8904800591</v>
          </cell>
          <cell r="B36" t="str">
            <v>DEPARTAMENTO DE BOLIVAR</v>
          </cell>
          <cell r="C36">
            <v>14951701</v>
          </cell>
          <cell r="D36">
            <v>-23800525.859999999</v>
          </cell>
          <cell r="E36">
            <v>0</v>
          </cell>
          <cell r="F36">
            <v>0</v>
          </cell>
          <cell r="G36">
            <v>0</v>
          </cell>
          <cell r="H36">
            <v>-23800525.859999999</v>
          </cell>
        </row>
        <row r="37">
          <cell r="A37">
            <v>8904800591</v>
          </cell>
          <cell r="B37" t="str">
            <v>DEPARTAMENTO DE BOLIVAR</v>
          </cell>
          <cell r="C37">
            <v>14951501</v>
          </cell>
          <cell r="D37">
            <v>-78601042.939999998</v>
          </cell>
          <cell r="E37">
            <v>0</v>
          </cell>
          <cell r="F37">
            <v>0</v>
          </cell>
          <cell r="G37">
            <v>0</v>
          </cell>
          <cell r="H37">
            <v>-78601042.939999998</v>
          </cell>
        </row>
        <row r="38">
          <cell r="A38">
            <v>8904800591</v>
          </cell>
          <cell r="B38" t="str">
            <v>DEPARTAMENTO DE BOLIVAR</v>
          </cell>
          <cell r="C38">
            <v>14681503</v>
          </cell>
          <cell r="D38">
            <v>23800525.859999999</v>
          </cell>
          <cell r="E38">
            <v>0</v>
          </cell>
          <cell r="F38">
            <v>0</v>
          </cell>
          <cell r="G38">
            <v>23800525.859999999</v>
          </cell>
          <cell r="H38">
            <v>0</v>
          </cell>
        </row>
        <row r="39">
          <cell r="A39">
            <v>8904800591</v>
          </cell>
          <cell r="B39" t="str">
            <v>DEPARTAMENTO DE BOLIVAR</v>
          </cell>
          <cell r="C39">
            <v>14621503</v>
          </cell>
          <cell r="D39">
            <v>880193115.78999996</v>
          </cell>
          <cell r="E39">
            <v>0</v>
          </cell>
          <cell r="F39">
            <v>0</v>
          </cell>
          <cell r="G39">
            <v>880193115.78999996</v>
          </cell>
          <cell r="H39">
            <v>0</v>
          </cell>
        </row>
        <row r="40">
          <cell r="A40">
            <v>8904801844</v>
          </cell>
          <cell r="B40" t="str">
            <v>DISTRITO TURISTICO Y CULTURAL DE C/GENA.</v>
          </cell>
          <cell r="C40">
            <v>14951501</v>
          </cell>
          <cell r="D40">
            <v>-114911495.69</v>
          </cell>
          <cell r="E40">
            <v>0</v>
          </cell>
          <cell r="F40">
            <v>0</v>
          </cell>
          <cell r="G40">
            <v>0</v>
          </cell>
          <cell r="H40">
            <v>-114911495.69</v>
          </cell>
        </row>
        <row r="41">
          <cell r="A41">
            <v>8904801844</v>
          </cell>
          <cell r="B41" t="str">
            <v>DISTRITO TURISTICO Y CULTURAL DE C/GENA.</v>
          </cell>
          <cell r="C41">
            <v>14621501</v>
          </cell>
          <cell r="D41">
            <v>574557478.45000005</v>
          </cell>
          <cell r="E41">
            <v>0</v>
          </cell>
          <cell r="F41">
            <v>140843</v>
          </cell>
          <cell r="G41">
            <v>574416635.45000005</v>
          </cell>
          <cell r="H41">
            <v>0</v>
          </cell>
        </row>
        <row r="42">
          <cell r="A42">
            <v>8904801844</v>
          </cell>
          <cell r="B42" t="str">
            <v>DISTRITO TURISTICO Y CULTURAL DE C/GENA.</v>
          </cell>
          <cell r="C42">
            <v>14591501</v>
          </cell>
          <cell r="D42">
            <v>557345434.63</v>
          </cell>
          <cell r="E42">
            <v>0</v>
          </cell>
          <cell r="F42">
            <v>90562</v>
          </cell>
          <cell r="G42">
            <v>557254872.63</v>
          </cell>
          <cell r="H42">
            <v>0</v>
          </cell>
        </row>
        <row r="43">
          <cell r="A43">
            <v>8909052111</v>
          </cell>
          <cell r="B43" t="str">
            <v>MUNICIPIO DE MEDELLIN</v>
          </cell>
          <cell r="C43">
            <v>14594305</v>
          </cell>
          <cell r="D43">
            <v>276875000</v>
          </cell>
          <cell r="E43">
            <v>0</v>
          </cell>
          <cell r="F43">
            <v>0</v>
          </cell>
          <cell r="G43">
            <v>276875000</v>
          </cell>
          <cell r="H43">
            <v>0</v>
          </cell>
        </row>
        <row r="44">
          <cell r="A44">
            <v>8909073172</v>
          </cell>
          <cell r="B44" t="str">
            <v>MUNICIPIO DE RIONEGRO</v>
          </cell>
          <cell r="C44">
            <v>14593004</v>
          </cell>
          <cell r="D44">
            <v>994418792</v>
          </cell>
          <cell r="E44">
            <v>0</v>
          </cell>
          <cell r="F44">
            <v>0</v>
          </cell>
          <cell r="G44">
            <v>994418792</v>
          </cell>
          <cell r="H44">
            <v>0</v>
          </cell>
        </row>
        <row r="45">
          <cell r="A45">
            <v>8909801121</v>
          </cell>
          <cell r="B45" t="str">
            <v>MUNICIPIO DE BELLO</v>
          </cell>
          <cell r="C45">
            <v>14952501</v>
          </cell>
          <cell r="D45">
            <v>-343724384.39999998</v>
          </cell>
          <cell r="E45">
            <v>0</v>
          </cell>
          <cell r="F45">
            <v>0</v>
          </cell>
          <cell r="G45">
            <v>0</v>
          </cell>
          <cell r="H45">
            <v>-343724384.39999998</v>
          </cell>
        </row>
        <row r="46">
          <cell r="A46">
            <v>8909801121</v>
          </cell>
          <cell r="B46" t="str">
            <v>MUNICIPIO DE BELLO</v>
          </cell>
          <cell r="C46">
            <v>14651501</v>
          </cell>
          <cell r="D46">
            <v>1244847004</v>
          </cell>
          <cell r="E46">
            <v>0</v>
          </cell>
          <cell r="F46">
            <v>0</v>
          </cell>
          <cell r="G46">
            <v>1244847004</v>
          </cell>
          <cell r="H46">
            <v>0</v>
          </cell>
        </row>
        <row r="47">
          <cell r="A47">
            <v>8909801121</v>
          </cell>
          <cell r="B47" t="str">
            <v>MUNICIPIO DE BELLO</v>
          </cell>
          <cell r="C47">
            <v>14593004</v>
          </cell>
          <cell r="D47">
            <v>2564200000</v>
          </cell>
          <cell r="E47">
            <v>0</v>
          </cell>
          <cell r="F47">
            <v>0</v>
          </cell>
          <cell r="G47">
            <v>2564200000</v>
          </cell>
          <cell r="H47">
            <v>0</v>
          </cell>
        </row>
        <row r="48">
          <cell r="A48">
            <v>8909801121</v>
          </cell>
          <cell r="B48" t="str">
            <v>MUNICIPIO DE BELLO</v>
          </cell>
          <cell r="C48">
            <v>14591501</v>
          </cell>
          <cell r="D48">
            <v>793718981.35000002</v>
          </cell>
          <cell r="E48">
            <v>0</v>
          </cell>
          <cell r="F48">
            <v>0</v>
          </cell>
          <cell r="G48">
            <v>793718981.35000002</v>
          </cell>
          <cell r="H48">
            <v>0</v>
          </cell>
        </row>
        <row r="49">
          <cell r="A49">
            <v>8909801366</v>
          </cell>
          <cell r="B49" t="str">
            <v>POLITECNICO COLOMBIANO JAIME ISAZA CADAVID</v>
          </cell>
          <cell r="C49">
            <v>14594305</v>
          </cell>
          <cell r="D49">
            <v>104400000</v>
          </cell>
          <cell r="E49">
            <v>0</v>
          </cell>
          <cell r="F49">
            <v>10000000</v>
          </cell>
          <cell r="G49">
            <v>94400000</v>
          </cell>
          <cell r="H49">
            <v>0</v>
          </cell>
        </row>
        <row r="50">
          <cell r="A50">
            <v>8909812075</v>
          </cell>
          <cell r="B50" t="str">
            <v>MUNICIPIO DE LA CEJA</v>
          </cell>
          <cell r="C50">
            <v>14593004</v>
          </cell>
          <cell r="D50">
            <v>69250000</v>
          </cell>
          <cell r="E50">
            <v>0</v>
          </cell>
          <cell r="F50">
            <v>17312500</v>
          </cell>
          <cell r="G50">
            <v>51937500</v>
          </cell>
          <cell r="H50">
            <v>0</v>
          </cell>
        </row>
        <row r="51">
          <cell r="A51">
            <v>8913800073</v>
          </cell>
          <cell r="B51" t="str">
            <v>TESORERIA MUNICIPAL DE PALMIRA</v>
          </cell>
          <cell r="C51">
            <v>14952001</v>
          </cell>
          <cell r="D51">
            <v>-126747697.90000001</v>
          </cell>
          <cell r="E51">
            <v>6236608.8399999999</v>
          </cell>
          <cell r="F51">
            <v>0</v>
          </cell>
          <cell r="G51">
            <v>0</v>
          </cell>
          <cell r="H51">
            <v>-120511089.06</v>
          </cell>
        </row>
        <row r="52">
          <cell r="A52">
            <v>8913800073</v>
          </cell>
          <cell r="B52" t="str">
            <v>TESORERIA MUNICIPAL DE PALMIRA</v>
          </cell>
          <cell r="C52">
            <v>14631501</v>
          </cell>
          <cell r="D52">
            <v>854547206</v>
          </cell>
          <cell r="E52">
            <v>0</v>
          </cell>
          <cell r="F52">
            <v>0</v>
          </cell>
          <cell r="G52">
            <v>854547206</v>
          </cell>
          <cell r="H52">
            <v>0</v>
          </cell>
        </row>
        <row r="53">
          <cell r="A53">
            <v>8913800073</v>
          </cell>
          <cell r="B53" t="str">
            <v>TESORERIA MUNICIPAL DE PALMIRA</v>
          </cell>
          <cell r="C53">
            <v>14591501</v>
          </cell>
          <cell r="D53">
            <v>1015788107</v>
          </cell>
          <cell r="E53">
            <v>0</v>
          </cell>
          <cell r="F53">
            <v>0</v>
          </cell>
          <cell r="G53">
            <v>1015788107</v>
          </cell>
          <cell r="H53">
            <v>0</v>
          </cell>
        </row>
        <row r="54">
          <cell r="A54">
            <v>8915800064</v>
          </cell>
          <cell r="B54" t="str">
            <v>MUNICIPIO DE POPAYAN</v>
          </cell>
          <cell r="C54">
            <v>14952001</v>
          </cell>
          <cell r="D54">
            <v>-120289350</v>
          </cell>
          <cell r="E54">
            <v>0</v>
          </cell>
          <cell r="F54">
            <v>0</v>
          </cell>
          <cell r="G54">
            <v>0</v>
          </cell>
          <cell r="H54">
            <v>-120289350</v>
          </cell>
        </row>
        <row r="55">
          <cell r="A55">
            <v>8915800064</v>
          </cell>
          <cell r="B55" t="str">
            <v>MUNICIPIO DE POPAYAN</v>
          </cell>
          <cell r="C55">
            <v>14631501</v>
          </cell>
          <cell r="D55">
            <v>1120276952</v>
          </cell>
          <cell r="E55">
            <v>0</v>
          </cell>
          <cell r="F55">
            <v>0</v>
          </cell>
          <cell r="G55">
            <v>1120276952</v>
          </cell>
          <cell r="H55">
            <v>0</v>
          </cell>
        </row>
        <row r="56">
          <cell r="A56">
            <v>8915800064</v>
          </cell>
          <cell r="B56" t="str">
            <v>MUNICIPIO DE POPAYAN</v>
          </cell>
          <cell r="C56">
            <v>14591501</v>
          </cell>
          <cell r="D56">
            <v>2145121181.4400001</v>
          </cell>
          <cell r="E56">
            <v>0</v>
          </cell>
          <cell r="F56">
            <v>0</v>
          </cell>
          <cell r="G56">
            <v>2145121181.4400001</v>
          </cell>
          <cell r="H56">
            <v>0</v>
          </cell>
        </row>
        <row r="57">
          <cell r="A57">
            <v>8915800168</v>
          </cell>
          <cell r="B57" t="str">
            <v>DEPARTAMENTO DEL CAUCA</v>
          </cell>
          <cell r="C57">
            <v>14951501</v>
          </cell>
          <cell r="D57">
            <v>-730622685</v>
          </cell>
          <cell r="E57">
            <v>0</v>
          </cell>
          <cell r="F57">
            <v>0</v>
          </cell>
          <cell r="G57">
            <v>0</v>
          </cell>
          <cell r="H57">
            <v>-730622685</v>
          </cell>
        </row>
        <row r="58">
          <cell r="A58">
            <v>8915800168</v>
          </cell>
          <cell r="B58" t="str">
            <v>DEPARTAMENTO DEL CAUCA</v>
          </cell>
          <cell r="C58">
            <v>14621501</v>
          </cell>
          <cell r="D58">
            <v>3274804655</v>
          </cell>
          <cell r="E58">
            <v>0</v>
          </cell>
          <cell r="F58">
            <v>0</v>
          </cell>
          <cell r="G58">
            <v>3274804655</v>
          </cell>
          <cell r="H58">
            <v>0</v>
          </cell>
        </row>
        <row r="59">
          <cell r="A59">
            <v>8915800168</v>
          </cell>
          <cell r="B59" t="str">
            <v>DEPARTAMENTO DEL CAUCA</v>
          </cell>
          <cell r="C59">
            <v>14591501</v>
          </cell>
          <cell r="D59">
            <v>2267839941</v>
          </cell>
          <cell r="E59">
            <v>0</v>
          </cell>
          <cell r="F59">
            <v>0</v>
          </cell>
          <cell r="G59">
            <v>2267839941</v>
          </cell>
          <cell r="H59">
            <v>0</v>
          </cell>
        </row>
        <row r="60">
          <cell r="A60">
            <v>8917800094</v>
          </cell>
          <cell r="B60" t="str">
            <v>DISTRITO TURISTICO CULTURAL E HISTORICO SANTA MARTA</v>
          </cell>
          <cell r="C60">
            <v>14952201</v>
          </cell>
          <cell r="D60">
            <v>-300000000</v>
          </cell>
          <cell r="E60">
            <v>0</v>
          </cell>
          <cell r="F60">
            <v>0</v>
          </cell>
          <cell r="G60">
            <v>0</v>
          </cell>
          <cell r="H60">
            <v>-300000000</v>
          </cell>
        </row>
        <row r="61">
          <cell r="A61">
            <v>8917800094</v>
          </cell>
          <cell r="B61" t="str">
            <v>DISTRITO TURISTICO CULTURAL E HISTORICO SANTA MARTA</v>
          </cell>
          <cell r="C61">
            <v>14631501</v>
          </cell>
          <cell r="D61">
            <v>664349092.62</v>
          </cell>
          <cell r="E61">
            <v>0</v>
          </cell>
          <cell r="F61">
            <v>0</v>
          </cell>
          <cell r="G61">
            <v>664349092.62</v>
          </cell>
          <cell r="H61">
            <v>0</v>
          </cell>
        </row>
        <row r="62">
          <cell r="A62">
            <v>8919004552</v>
          </cell>
          <cell r="B62" t="str">
            <v>EMPRESAS MUNICIPALES DE CARTAGO</v>
          </cell>
          <cell r="C62">
            <v>14593004</v>
          </cell>
          <cell r="D62">
            <v>404449175.98000002</v>
          </cell>
          <cell r="E62">
            <v>0</v>
          </cell>
          <cell r="F62">
            <v>12539549.220000001</v>
          </cell>
          <cell r="G62">
            <v>391909626.75999999</v>
          </cell>
          <cell r="H62">
            <v>0</v>
          </cell>
        </row>
        <row r="63">
          <cell r="A63">
            <v>8999990024</v>
          </cell>
          <cell r="B63" t="str">
            <v>EMPRESA COLOMBIANA DE PRODUCTOS VETERINARIOS VECOLSA</v>
          </cell>
          <cell r="C63">
            <v>14663001</v>
          </cell>
          <cell r="D63">
            <v>400000000</v>
          </cell>
          <cell r="E63">
            <v>0</v>
          </cell>
          <cell r="F63">
            <v>0</v>
          </cell>
          <cell r="G63">
            <v>400000000</v>
          </cell>
          <cell r="H63">
            <v>0</v>
          </cell>
        </row>
        <row r="64">
          <cell r="A64">
            <v>8999990024</v>
          </cell>
          <cell r="B64" t="str">
            <v>EMPRESA COLOMBIANA DE PRODUCTOS VETERINARIOS VECOLSA</v>
          </cell>
          <cell r="C64">
            <v>14661502</v>
          </cell>
          <cell r="D64">
            <v>1300000000</v>
          </cell>
          <cell r="E64">
            <v>1300000000</v>
          </cell>
          <cell r="F64">
            <v>1300000000</v>
          </cell>
          <cell r="G64">
            <v>1300000000</v>
          </cell>
          <cell r="H64">
            <v>0</v>
          </cell>
        </row>
        <row r="65">
          <cell r="A65">
            <v>8999990260</v>
          </cell>
          <cell r="B65" t="str">
            <v>CAJA DE PREVISION SOCIAL DE COMUNICACIONES CAPRECOM</v>
          </cell>
          <cell r="C65">
            <v>14661501</v>
          </cell>
          <cell r="D65">
            <v>374168876.67000002</v>
          </cell>
          <cell r="E65">
            <v>0</v>
          </cell>
          <cell r="F65">
            <v>0</v>
          </cell>
          <cell r="G65">
            <v>374168876.67000002</v>
          </cell>
          <cell r="H65">
            <v>0</v>
          </cell>
        </row>
        <row r="66">
          <cell r="A66">
            <v>8999990619</v>
          </cell>
          <cell r="B66" t="str">
            <v>DIRECCION DISTRITAL DE TESORERIA</v>
          </cell>
          <cell r="C66">
            <v>14591501</v>
          </cell>
          <cell r="D66">
            <v>12739058821.799999</v>
          </cell>
          <cell r="E66">
            <v>0</v>
          </cell>
          <cell r="F66">
            <v>0</v>
          </cell>
          <cell r="G66">
            <v>12739058821.799999</v>
          </cell>
          <cell r="H66">
            <v>0</v>
          </cell>
        </row>
        <row r="67">
          <cell r="A67">
            <v>8999990816</v>
          </cell>
          <cell r="B67" t="str">
            <v>INSTITUTO DE DESARROLLO URBANO</v>
          </cell>
          <cell r="C67">
            <v>14664302</v>
          </cell>
          <cell r="D67">
            <v>0</v>
          </cell>
          <cell r="E67">
            <v>20162415</v>
          </cell>
          <cell r="F67">
            <v>33630789</v>
          </cell>
          <cell r="G67">
            <v>-13468374</v>
          </cell>
          <cell r="H67">
            <v>0</v>
          </cell>
        </row>
        <row r="68">
          <cell r="A68">
            <v>8999990816</v>
          </cell>
          <cell r="B68" t="str">
            <v>INSTITUTO DE DESARROLLO URBANO</v>
          </cell>
          <cell r="C68">
            <v>14664301</v>
          </cell>
          <cell r="D68">
            <v>0</v>
          </cell>
          <cell r="E68">
            <v>642000000</v>
          </cell>
          <cell r="F68">
            <v>191000000</v>
          </cell>
          <cell r="G68">
            <v>451000000</v>
          </cell>
          <cell r="H68">
            <v>0</v>
          </cell>
        </row>
        <row r="69">
          <cell r="A69">
            <v>8999991434</v>
          </cell>
          <cell r="B69" t="str">
            <v>SATENA S.A.</v>
          </cell>
          <cell r="C69">
            <v>14663004</v>
          </cell>
          <cell r="D69">
            <v>0</v>
          </cell>
          <cell r="E69">
            <v>4725613680</v>
          </cell>
          <cell r="F69">
            <v>2355911718</v>
          </cell>
          <cell r="G69">
            <v>2369701962</v>
          </cell>
          <cell r="H69">
            <v>0</v>
          </cell>
        </row>
        <row r="70">
          <cell r="A70">
            <v>8999991434</v>
          </cell>
          <cell r="B70" t="str">
            <v>SATENA S.A.</v>
          </cell>
          <cell r="C70">
            <v>14593004</v>
          </cell>
          <cell r="D70">
            <v>8078334624</v>
          </cell>
          <cell r="E70">
            <v>13790244</v>
          </cell>
          <cell r="F70">
            <v>13790244</v>
          </cell>
          <cell r="G70">
            <v>8078334624</v>
          </cell>
          <cell r="H70">
            <v>0</v>
          </cell>
        </row>
        <row r="72">
          <cell r="D72">
            <v>111427161665.62999</v>
          </cell>
          <cell r="E72">
            <v>7811065989.2799997</v>
          </cell>
          <cell r="F72">
            <v>5242340611.46</v>
          </cell>
          <cell r="G72">
            <v>142879670790.31</v>
          </cell>
          <cell r="H72">
            <v>-28883783746.860001</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Participaciones Dic-11"/>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IMINA EXT"/>
      <sheetName val="ELIMINA"/>
      <sheetName val="FILIALEXT"/>
      <sheetName val="FILIAL"/>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regionales"/>
      <sheetName val="Swap Gain MtM (PL.501)"/>
      <sheetName val="Gain on Sale of OREOs (PL.502)"/>
      <sheetName val="Other Income (PL.505)"/>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Other Services (PL.773)"/>
      <sheetName val="Depreciation (PL.7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B LLP Model V3 Meridiana"/>
    </sheetNames>
    <definedNames>
      <definedName name="LLPModel"/>
    </defined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cipación Accionaria Junio "/>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Z"/>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me Deposits (PL.120)"/>
      <sheetName val="Corporate Expenses (PL.717)"/>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row r="1">
          <cell r="A1" t="str">
            <v>SALNI1</v>
          </cell>
          <cell r="B1" t="str">
            <v>CLINOM</v>
          </cell>
          <cell r="C1" t="str">
            <v>SALC01</v>
          </cell>
          <cell r="D1" t="str">
            <v>SALSA7</v>
          </cell>
          <cell r="E1" t="str">
            <v>SALDE6</v>
          </cell>
          <cell r="F1" t="str">
            <v>SALCR6</v>
          </cell>
          <cell r="G1" t="str">
            <v>SALDO16</v>
          </cell>
          <cell r="H1">
            <v>-459925449.5</v>
          </cell>
        </row>
        <row r="2">
          <cell r="A2">
            <v>8903990034</v>
          </cell>
          <cell r="B2" t="str">
            <v>EMPRESAS MUNICIPALES DE CALI - EMCALI E.I.C.E.</v>
          </cell>
          <cell r="C2">
            <v>14952701</v>
          </cell>
          <cell r="D2">
            <v>-15847134727</v>
          </cell>
          <cell r="E2">
            <v>0</v>
          </cell>
          <cell r="F2">
            <v>0</v>
          </cell>
          <cell r="G2">
            <v>0</v>
          </cell>
          <cell r="H2">
            <v>-15847134727</v>
          </cell>
        </row>
        <row r="3">
          <cell r="A3">
            <v>8903990113</v>
          </cell>
          <cell r="B3" t="str">
            <v>TESORERIA MUNICIPAL DE CALI</v>
          </cell>
          <cell r="C3">
            <v>14952001</v>
          </cell>
          <cell r="D3">
            <v>-4904354703.5</v>
          </cell>
          <cell r="E3">
            <v>0</v>
          </cell>
          <cell r="F3">
            <v>0</v>
          </cell>
          <cell r="G3">
            <v>0</v>
          </cell>
          <cell r="H3">
            <v>-4904354703.5</v>
          </cell>
        </row>
        <row r="4">
          <cell r="A4">
            <v>8903990034</v>
          </cell>
          <cell r="B4" t="str">
            <v>EMPRESAS MUNICIPALES DE CALI - EMCALI E.I.C.E.</v>
          </cell>
          <cell r="C4">
            <v>14952501</v>
          </cell>
          <cell r="D4">
            <v>-2371666204</v>
          </cell>
          <cell r="E4">
            <v>0</v>
          </cell>
          <cell r="F4">
            <v>0</v>
          </cell>
          <cell r="G4">
            <v>0</v>
          </cell>
          <cell r="H4">
            <v>-2371666204</v>
          </cell>
        </row>
        <row r="5">
          <cell r="A5">
            <v>8901020181</v>
          </cell>
          <cell r="B5" t="str">
            <v>DISTRITO DE BARRANQUILLA</v>
          </cell>
          <cell r="C5">
            <v>14952001</v>
          </cell>
          <cell r="D5">
            <v>-1643309997</v>
          </cell>
          <cell r="E5">
            <v>0</v>
          </cell>
          <cell r="F5">
            <v>0</v>
          </cell>
          <cell r="G5">
            <v>0</v>
          </cell>
          <cell r="H5">
            <v>-1643309997</v>
          </cell>
        </row>
        <row r="6">
          <cell r="A6">
            <v>8903990113</v>
          </cell>
          <cell r="B6" t="str">
            <v>TESORERIA MUNICIPAL DE CALI</v>
          </cell>
          <cell r="C6">
            <v>14952201</v>
          </cell>
          <cell r="D6">
            <v>-1332424547</v>
          </cell>
          <cell r="E6">
            <v>0</v>
          </cell>
          <cell r="F6">
            <v>0</v>
          </cell>
          <cell r="G6">
            <v>0</v>
          </cell>
          <cell r="H6">
            <v>-1332424547</v>
          </cell>
        </row>
        <row r="7">
          <cell r="A7">
            <v>8915800168</v>
          </cell>
          <cell r="B7" t="str">
            <v>DEPARTAMENTO DEL CAUCA</v>
          </cell>
          <cell r="C7">
            <v>14951501</v>
          </cell>
          <cell r="D7">
            <v>-1194627647.9200001</v>
          </cell>
          <cell r="E7">
            <v>0</v>
          </cell>
          <cell r="F7">
            <v>0</v>
          </cell>
          <cell r="G7">
            <v>0</v>
          </cell>
          <cell r="H7">
            <v>-1194627647.9200001</v>
          </cell>
        </row>
        <row r="8">
          <cell r="A8">
            <v>8909801121</v>
          </cell>
          <cell r="B8" t="str">
            <v>MUNICIPIO DE BELLO</v>
          </cell>
          <cell r="C8">
            <v>14952501</v>
          </cell>
          <cell r="D8">
            <v>-726164715.63</v>
          </cell>
          <cell r="E8">
            <v>194867496.88</v>
          </cell>
          <cell r="F8">
            <v>0</v>
          </cell>
          <cell r="G8">
            <v>0</v>
          </cell>
          <cell r="H8">
            <v>-531297218.75</v>
          </cell>
        </row>
        <row r="9">
          <cell r="A9">
            <v>8901020031</v>
          </cell>
          <cell r="B9" t="str">
            <v>EMPRESA DISTRITAL DE TELECOMUNICACIONES DE BQUILLA S.A E.S.P</v>
          </cell>
          <cell r="C9">
            <v>14952209</v>
          </cell>
          <cell r="D9">
            <v>-422500000</v>
          </cell>
          <cell r="E9">
            <v>0</v>
          </cell>
          <cell r="F9">
            <v>0</v>
          </cell>
          <cell r="G9">
            <v>0</v>
          </cell>
          <cell r="H9">
            <v>-422500000</v>
          </cell>
        </row>
        <row r="10">
          <cell r="A10">
            <v>8904801844</v>
          </cell>
          <cell r="B10" t="str">
            <v>DISTRITO TURISTICO Y CULTURAL DE C/GENA.</v>
          </cell>
          <cell r="C10">
            <v>14952501</v>
          </cell>
          <cell r="D10">
            <v>-244439543.56999999</v>
          </cell>
          <cell r="E10">
            <v>0</v>
          </cell>
          <cell r="F10">
            <v>0</v>
          </cell>
          <cell r="G10">
            <v>0</v>
          </cell>
          <cell r="H10">
            <v>-244439543.56999999</v>
          </cell>
        </row>
        <row r="11">
          <cell r="A11">
            <v>8901020031</v>
          </cell>
          <cell r="B11" t="str">
            <v>EMPRESA DISTRITAL DE TELECOMUNICACIONES DE BQUILLA S.A E.S.P</v>
          </cell>
          <cell r="C11">
            <v>14952001</v>
          </cell>
          <cell r="D11">
            <v>-183630917</v>
          </cell>
          <cell r="E11">
            <v>0</v>
          </cell>
          <cell r="F11">
            <v>0</v>
          </cell>
          <cell r="G11">
            <v>0</v>
          </cell>
          <cell r="H11">
            <v>-183630917</v>
          </cell>
        </row>
        <row r="12">
          <cell r="A12">
            <v>8915800064</v>
          </cell>
          <cell r="B12" t="str">
            <v>MUNICIPIO DE POPAYAN</v>
          </cell>
          <cell r="C12">
            <v>14952001</v>
          </cell>
          <cell r="D12">
            <v>-142924190</v>
          </cell>
          <cell r="E12">
            <v>0</v>
          </cell>
          <cell r="F12">
            <v>0</v>
          </cell>
          <cell r="G12">
            <v>0</v>
          </cell>
          <cell r="H12">
            <v>-142924190</v>
          </cell>
        </row>
        <row r="13">
          <cell r="A13">
            <v>8901020031</v>
          </cell>
          <cell r="B13" t="str">
            <v>EMPRESA DISTRITAL DE TELECOMUNICACIONES DE BQUILLA S.A E.S.P</v>
          </cell>
          <cell r="C13">
            <v>14952201</v>
          </cell>
          <cell r="D13">
            <v>-141370429</v>
          </cell>
          <cell r="E13">
            <v>0</v>
          </cell>
          <cell r="F13">
            <v>0</v>
          </cell>
          <cell r="G13">
            <v>0</v>
          </cell>
          <cell r="H13">
            <v>-141370429</v>
          </cell>
        </row>
        <row r="14">
          <cell r="A14">
            <v>8903990453</v>
          </cell>
          <cell r="B14" t="str">
            <v>MUNICIPIO DE BUENAVENTURA</v>
          </cell>
          <cell r="C14">
            <v>14951701</v>
          </cell>
          <cell r="D14">
            <v>-127194000</v>
          </cell>
          <cell r="E14">
            <v>0</v>
          </cell>
          <cell r="F14">
            <v>0</v>
          </cell>
          <cell r="G14">
            <v>0</v>
          </cell>
          <cell r="H14">
            <v>-127194000</v>
          </cell>
        </row>
        <row r="15">
          <cell r="A15">
            <v>8901020061</v>
          </cell>
          <cell r="B15" t="str">
            <v>DEPARTAMENTO DEL ATLANTICO</v>
          </cell>
          <cell r="C15">
            <v>14952001</v>
          </cell>
          <cell r="D15">
            <v>-115986106.5</v>
          </cell>
          <cell r="E15">
            <v>0</v>
          </cell>
          <cell r="F15">
            <v>0</v>
          </cell>
          <cell r="G15">
            <v>0</v>
          </cell>
          <cell r="H15">
            <v>-115986106.5</v>
          </cell>
        </row>
        <row r="16">
          <cell r="A16">
            <v>8904800591</v>
          </cell>
          <cell r="B16" t="str">
            <v>DEPARTAMENTO DE BOLIVAR</v>
          </cell>
          <cell r="C16">
            <v>14951501</v>
          </cell>
          <cell r="D16">
            <v>-110843373.61</v>
          </cell>
          <cell r="E16">
            <v>0</v>
          </cell>
          <cell r="F16">
            <v>0</v>
          </cell>
          <cell r="G16">
            <v>0</v>
          </cell>
          <cell r="H16">
            <v>-110843373.61</v>
          </cell>
        </row>
        <row r="17">
          <cell r="A17">
            <v>8919004932</v>
          </cell>
          <cell r="B17" t="str">
            <v>MUNICIPIO DE CARTAGO</v>
          </cell>
          <cell r="C17">
            <v>14952201</v>
          </cell>
          <cell r="D17">
            <v>-58979170.600000001</v>
          </cell>
          <cell r="E17">
            <v>0</v>
          </cell>
          <cell r="F17">
            <v>0</v>
          </cell>
          <cell r="G17">
            <v>0</v>
          </cell>
          <cell r="H17">
            <v>-58979170.600000001</v>
          </cell>
        </row>
        <row r="18">
          <cell r="A18">
            <v>8913800073</v>
          </cell>
          <cell r="B18" t="str">
            <v>TESORERIA MUNICIPAL DE PALMIRA</v>
          </cell>
          <cell r="C18">
            <v>14952001</v>
          </cell>
          <cell r="D18">
            <v>-45846284</v>
          </cell>
          <cell r="E18">
            <v>0</v>
          </cell>
          <cell r="F18">
            <v>0</v>
          </cell>
          <cell r="G18">
            <v>0</v>
          </cell>
          <cell r="H18">
            <v>-45846284</v>
          </cell>
        </row>
        <row r="19">
          <cell r="A19">
            <v>8001039331</v>
          </cell>
          <cell r="B19" t="str">
            <v>DEPARTAMENTO DEL VALLE DEL CAUCA</v>
          </cell>
          <cell r="C19">
            <v>14951001</v>
          </cell>
          <cell r="D19">
            <v>-39939811.229999997</v>
          </cell>
          <cell r="E19">
            <v>0</v>
          </cell>
          <cell r="F19">
            <v>0</v>
          </cell>
          <cell r="G19">
            <v>0</v>
          </cell>
          <cell r="H19">
            <v>-39939811.229999997</v>
          </cell>
        </row>
        <row r="20">
          <cell r="A20">
            <v>8913800073</v>
          </cell>
          <cell r="B20" t="str">
            <v>TESORERIA MUNICIPAL DE PALMIRA</v>
          </cell>
          <cell r="C20">
            <v>14952201</v>
          </cell>
          <cell r="D20">
            <v>-36927493</v>
          </cell>
          <cell r="E20">
            <v>0</v>
          </cell>
          <cell r="F20">
            <v>0</v>
          </cell>
          <cell r="G20">
            <v>0</v>
          </cell>
          <cell r="H20">
            <v>-36927493</v>
          </cell>
        </row>
        <row r="21">
          <cell r="A21">
            <v>8919004932</v>
          </cell>
          <cell r="B21" t="str">
            <v>MUNICIPIO DE CARTAGO</v>
          </cell>
          <cell r="C21">
            <v>14952001</v>
          </cell>
          <cell r="D21">
            <v>-15083329.4</v>
          </cell>
          <cell r="E21">
            <v>0</v>
          </cell>
          <cell r="F21">
            <v>0</v>
          </cell>
          <cell r="G21">
            <v>0</v>
          </cell>
          <cell r="H21">
            <v>-15083329.4</v>
          </cell>
        </row>
        <row r="22">
          <cell r="A22">
            <v>8903990453</v>
          </cell>
          <cell r="B22" t="str">
            <v>MUNICIPIO DE BUENAVENTURA</v>
          </cell>
          <cell r="C22">
            <v>14951501</v>
          </cell>
          <cell r="D22">
            <v>-11875000</v>
          </cell>
          <cell r="E22">
            <v>0</v>
          </cell>
          <cell r="F22">
            <v>0</v>
          </cell>
          <cell r="G22">
            <v>0</v>
          </cell>
          <cell r="H22">
            <v>-11875000</v>
          </cell>
        </row>
        <row r="23">
          <cell r="A23">
            <v>8904801844</v>
          </cell>
          <cell r="B23" t="str">
            <v>DISTRITO TURISTICO Y CULTURAL DE C/GENA.</v>
          </cell>
          <cell r="C23">
            <v>14952701</v>
          </cell>
          <cell r="D23">
            <v>0</v>
          </cell>
          <cell r="E23">
            <v>0</v>
          </cell>
          <cell r="F23">
            <v>6010808.8300000001</v>
          </cell>
          <cell r="G23">
            <v>0</v>
          </cell>
          <cell r="H23">
            <v>-6010808.8300000001</v>
          </cell>
        </row>
        <row r="24">
          <cell r="A24">
            <v>8999990260</v>
          </cell>
          <cell r="B24" t="str">
            <v>CAJA DE PREVISION SOCIAL DE COMUNICACIONES CAPRECOM</v>
          </cell>
          <cell r="C24">
            <v>14951013</v>
          </cell>
          <cell r="D24">
            <v>-1066666.6599999999</v>
          </cell>
          <cell r="E24">
            <v>66666.67</v>
          </cell>
          <cell r="F24">
            <v>0</v>
          </cell>
          <cell r="G24">
            <v>0</v>
          </cell>
          <cell r="H24">
            <v>-999999.99</v>
          </cell>
        </row>
        <row r="25">
          <cell r="A25">
            <v>8918004981</v>
          </cell>
          <cell r="B25" t="str">
            <v>FONDO NACIONAL DE PENSIONES ENTIDAD TERRITORIAL DEPT.BOYACA</v>
          </cell>
          <cell r="C25">
            <v>14593004</v>
          </cell>
          <cell r="D25">
            <v>14700000</v>
          </cell>
          <cell r="E25">
            <v>0</v>
          </cell>
          <cell r="F25">
            <v>0</v>
          </cell>
          <cell r="G25">
            <v>14700000</v>
          </cell>
          <cell r="H25">
            <v>0</v>
          </cell>
        </row>
        <row r="26">
          <cell r="A26">
            <v>8002158072</v>
          </cell>
          <cell r="B26" t="str">
            <v>INSTITUTO NACIONAL DE VIAS</v>
          </cell>
          <cell r="C26">
            <v>14664302</v>
          </cell>
          <cell r="D26">
            <v>0</v>
          </cell>
          <cell r="E26">
            <v>5929984.25</v>
          </cell>
          <cell r="F26">
            <v>26055854</v>
          </cell>
          <cell r="G26">
            <v>-20125869.75</v>
          </cell>
          <cell r="H26">
            <v>0</v>
          </cell>
        </row>
        <row r="27">
          <cell r="A27">
            <v>8901020031</v>
          </cell>
          <cell r="B27" t="str">
            <v>EMPRESA DISTRITAL DE TELECOMUNICACIONES DE BQUILLA S.A E.S.P</v>
          </cell>
          <cell r="C27">
            <v>14691503</v>
          </cell>
          <cell r="D27">
            <v>52000000</v>
          </cell>
          <cell r="E27">
            <v>0</v>
          </cell>
          <cell r="F27">
            <v>0</v>
          </cell>
          <cell r="G27">
            <v>52000000</v>
          </cell>
          <cell r="H27">
            <v>0</v>
          </cell>
        </row>
        <row r="28">
          <cell r="A28">
            <v>8903990453</v>
          </cell>
          <cell r="B28" t="str">
            <v>MUNICIPIO DE BUENAVENTURA</v>
          </cell>
          <cell r="C28">
            <v>14681503</v>
          </cell>
          <cell r="D28">
            <v>127194000</v>
          </cell>
          <cell r="E28">
            <v>0</v>
          </cell>
          <cell r="F28">
            <v>0</v>
          </cell>
          <cell r="G28">
            <v>127194000</v>
          </cell>
          <cell r="H28">
            <v>0</v>
          </cell>
        </row>
        <row r="29">
          <cell r="A29">
            <v>8001170117</v>
          </cell>
          <cell r="B29" t="str">
            <v>INSTITUTO DE VALORIZACION MUNICIPAL DE PASTO</v>
          </cell>
          <cell r="C29">
            <v>14593004</v>
          </cell>
          <cell r="D29">
            <v>170046542</v>
          </cell>
          <cell r="E29">
            <v>0</v>
          </cell>
          <cell r="F29">
            <v>42511634</v>
          </cell>
          <cell r="G29">
            <v>127534908</v>
          </cell>
          <cell r="H29">
            <v>0</v>
          </cell>
        </row>
        <row r="30">
          <cell r="A30">
            <v>8912800003</v>
          </cell>
          <cell r="B30" t="str">
            <v>MUNICIPIO DE PASTO</v>
          </cell>
          <cell r="C30">
            <v>14591501</v>
          </cell>
          <cell r="D30">
            <v>134999999</v>
          </cell>
          <cell r="E30">
            <v>0</v>
          </cell>
          <cell r="F30">
            <v>0</v>
          </cell>
          <cell r="G30">
            <v>134999999</v>
          </cell>
          <cell r="H30">
            <v>0</v>
          </cell>
        </row>
        <row r="31">
          <cell r="A31">
            <v>8919004932</v>
          </cell>
          <cell r="B31" t="str">
            <v>MUNICIPIO DE CARTAGO</v>
          </cell>
          <cell r="C31">
            <v>14631501</v>
          </cell>
          <cell r="D31">
            <v>138976326.25999999</v>
          </cell>
          <cell r="E31">
            <v>0</v>
          </cell>
          <cell r="F31">
            <v>0</v>
          </cell>
          <cell r="G31">
            <v>138976326.25999999</v>
          </cell>
          <cell r="H31">
            <v>0</v>
          </cell>
        </row>
        <row r="32">
          <cell r="A32">
            <v>8909812075</v>
          </cell>
          <cell r="B32" t="str">
            <v>MUNICIPIO DE LA CEJA</v>
          </cell>
          <cell r="C32">
            <v>14593004</v>
          </cell>
          <cell r="D32">
            <v>164815000</v>
          </cell>
          <cell r="E32">
            <v>0</v>
          </cell>
          <cell r="F32">
            <v>0</v>
          </cell>
          <cell r="G32">
            <v>164815000</v>
          </cell>
          <cell r="H32">
            <v>0</v>
          </cell>
        </row>
        <row r="33">
          <cell r="A33">
            <v>8909073172</v>
          </cell>
          <cell r="B33" t="str">
            <v>MUNICIPIO DE RIONEGRO</v>
          </cell>
          <cell r="C33">
            <v>14591501</v>
          </cell>
          <cell r="D33">
            <v>182491386</v>
          </cell>
          <cell r="E33">
            <v>0</v>
          </cell>
          <cell r="F33">
            <v>5201005</v>
          </cell>
          <cell r="G33">
            <v>177290381</v>
          </cell>
          <cell r="H33">
            <v>0</v>
          </cell>
        </row>
        <row r="34">
          <cell r="A34">
            <v>8902051768</v>
          </cell>
          <cell r="B34" t="str">
            <v>MUNICIPIO DE FLORIDABLANCA</v>
          </cell>
          <cell r="C34">
            <v>14591501</v>
          </cell>
          <cell r="D34">
            <v>190000000</v>
          </cell>
          <cell r="E34">
            <v>0</v>
          </cell>
          <cell r="F34">
            <v>0</v>
          </cell>
          <cell r="G34">
            <v>190000000</v>
          </cell>
          <cell r="H34">
            <v>0</v>
          </cell>
        </row>
        <row r="35">
          <cell r="A35">
            <v>8909002860</v>
          </cell>
          <cell r="B35" t="str">
            <v>DEPARTAMENTO DE ANTIOQUIA</v>
          </cell>
          <cell r="C35">
            <v>14591501</v>
          </cell>
          <cell r="D35">
            <v>214583338</v>
          </cell>
          <cell r="E35">
            <v>0</v>
          </cell>
          <cell r="F35">
            <v>0</v>
          </cell>
          <cell r="G35">
            <v>214583338</v>
          </cell>
          <cell r="H35">
            <v>0</v>
          </cell>
        </row>
        <row r="36">
          <cell r="A36">
            <v>8913800335</v>
          </cell>
          <cell r="B36" t="str">
            <v>MUNICIPIO DE BUGA</v>
          </cell>
          <cell r="C36">
            <v>14601501</v>
          </cell>
          <cell r="D36">
            <v>250000000</v>
          </cell>
          <cell r="E36">
            <v>0</v>
          </cell>
          <cell r="F36">
            <v>0</v>
          </cell>
          <cell r="G36">
            <v>250000000</v>
          </cell>
          <cell r="H36">
            <v>0</v>
          </cell>
        </row>
        <row r="37">
          <cell r="A37">
            <v>8909073172</v>
          </cell>
          <cell r="B37" t="str">
            <v>MUNICIPIO DE RIONEGRO</v>
          </cell>
          <cell r="C37">
            <v>14621501</v>
          </cell>
          <cell r="D37">
            <v>273737080</v>
          </cell>
          <cell r="E37">
            <v>0</v>
          </cell>
          <cell r="F37">
            <v>7801507</v>
          </cell>
          <cell r="G37">
            <v>265935573</v>
          </cell>
          <cell r="H37">
            <v>0</v>
          </cell>
        </row>
        <row r="38">
          <cell r="A38">
            <v>8150006994</v>
          </cell>
          <cell r="B38" t="str">
            <v>ACUAVIVA S.A. E.S.P.</v>
          </cell>
          <cell r="C38">
            <v>14594305</v>
          </cell>
          <cell r="D38">
            <v>300000000</v>
          </cell>
          <cell r="E38">
            <v>0</v>
          </cell>
          <cell r="F38">
            <v>0</v>
          </cell>
          <cell r="G38">
            <v>300000000</v>
          </cell>
          <cell r="H38">
            <v>0</v>
          </cell>
        </row>
        <row r="39">
          <cell r="A39">
            <v>8909034624</v>
          </cell>
          <cell r="B39" t="str">
            <v>EMPRESA ANTIOQUE#A DE ENERGIA S.A. E.S.P.</v>
          </cell>
          <cell r="C39">
            <v>14593002</v>
          </cell>
          <cell r="D39">
            <v>333333200</v>
          </cell>
          <cell r="E39">
            <v>0</v>
          </cell>
          <cell r="F39">
            <v>0</v>
          </cell>
          <cell r="G39">
            <v>333333200</v>
          </cell>
          <cell r="H39">
            <v>0</v>
          </cell>
        </row>
        <row r="40">
          <cell r="A40">
            <v>8909073172</v>
          </cell>
          <cell r="B40" t="str">
            <v>MUNICIPIO DE RIONEGRO</v>
          </cell>
          <cell r="C40">
            <v>14593004</v>
          </cell>
          <cell r="D40">
            <v>378637059</v>
          </cell>
          <cell r="E40">
            <v>0</v>
          </cell>
          <cell r="F40">
            <v>10791156</v>
          </cell>
          <cell r="G40">
            <v>367845903</v>
          </cell>
          <cell r="H40">
            <v>0</v>
          </cell>
        </row>
        <row r="41">
          <cell r="A41">
            <v>8901020031</v>
          </cell>
          <cell r="B41" t="str">
            <v>EMPRESA DISTRITAL DE TELECOMUNICACIONES DE BQUILLA S.A E.S.P</v>
          </cell>
          <cell r="C41">
            <v>14631503</v>
          </cell>
          <cell r="D41">
            <v>414371775</v>
          </cell>
          <cell r="E41">
            <v>0</v>
          </cell>
          <cell r="F41">
            <v>0</v>
          </cell>
          <cell r="G41">
            <v>414371775</v>
          </cell>
          <cell r="H41">
            <v>0</v>
          </cell>
        </row>
        <row r="42">
          <cell r="A42">
            <v>8000967341</v>
          </cell>
          <cell r="B42" t="str">
            <v>MUNICIPIO DE MONTERIA</v>
          </cell>
          <cell r="C42">
            <v>14621501</v>
          </cell>
          <cell r="D42">
            <v>447649997</v>
          </cell>
          <cell r="E42">
            <v>0</v>
          </cell>
          <cell r="F42">
            <v>0</v>
          </cell>
          <cell r="G42">
            <v>447649997</v>
          </cell>
          <cell r="H42">
            <v>0</v>
          </cell>
        </row>
        <row r="43">
          <cell r="A43">
            <v>8919004552</v>
          </cell>
          <cell r="B43" t="str">
            <v>EMPRESAS MUNICIPALES DE CARTAGO</v>
          </cell>
          <cell r="C43">
            <v>14593004</v>
          </cell>
          <cell r="D43">
            <v>499826771.60000002</v>
          </cell>
          <cell r="E43">
            <v>0</v>
          </cell>
          <cell r="F43">
            <v>3733308.95</v>
          </cell>
          <cell r="G43">
            <v>496093462.64999998</v>
          </cell>
          <cell r="H43">
            <v>0</v>
          </cell>
        </row>
        <row r="44">
          <cell r="A44">
            <v>8909073172</v>
          </cell>
          <cell r="B44" t="str">
            <v>MUNICIPIO DE RIONEGRO</v>
          </cell>
          <cell r="C44">
            <v>14623004</v>
          </cell>
          <cell r="D44">
            <v>567955589</v>
          </cell>
          <cell r="E44">
            <v>0</v>
          </cell>
          <cell r="F44">
            <v>16186734</v>
          </cell>
          <cell r="G44">
            <v>551768855</v>
          </cell>
          <cell r="H44">
            <v>0</v>
          </cell>
        </row>
        <row r="45">
          <cell r="A45">
            <v>8999990260</v>
          </cell>
          <cell r="B45" t="str">
            <v>CAJA DE PREVISION SOCIAL DE COMUNICACIONES CAPRECOM</v>
          </cell>
          <cell r="C45">
            <v>14604305</v>
          </cell>
          <cell r="D45">
            <v>666666667</v>
          </cell>
          <cell r="E45">
            <v>0</v>
          </cell>
          <cell r="F45">
            <v>41666667</v>
          </cell>
          <cell r="G45">
            <v>625000000</v>
          </cell>
          <cell r="H45">
            <v>0</v>
          </cell>
        </row>
        <row r="46">
          <cell r="A46">
            <v>8901020061</v>
          </cell>
          <cell r="B46" t="str">
            <v>DEPARTAMENTO DEL ATLANTICO</v>
          </cell>
          <cell r="C46">
            <v>14591501</v>
          </cell>
          <cell r="D46">
            <v>646098518</v>
          </cell>
          <cell r="E46">
            <v>0</v>
          </cell>
          <cell r="F46">
            <v>0</v>
          </cell>
          <cell r="G46">
            <v>646098518</v>
          </cell>
          <cell r="H46">
            <v>0</v>
          </cell>
        </row>
        <row r="47">
          <cell r="A47">
            <v>8917800094</v>
          </cell>
          <cell r="B47" t="str">
            <v>DISTRITO TURISTICO CULTURAL E HISTORICO</v>
          </cell>
          <cell r="C47">
            <v>14591501</v>
          </cell>
          <cell r="D47">
            <v>657965344.62</v>
          </cell>
          <cell r="E47">
            <v>0</v>
          </cell>
          <cell r="F47">
            <v>0</v>
          </cell>
          <cell r="G47">
            <v>657965344.62</v>
          </cell>
          <cell r="H47">
            <v>0</v>
          </cell>
        </row>
        <row r="48">
          <cell r="A48">
            <v>8902012301</v>
          </cell>
          <cell r="B48" t="str">
            <v>ELECTRIFICADORA DE SANTANDER S.A. E.S.P.</v>
          </cell>
          <cell r="C48">
            <v>14594305</v>
          </cell>
          <cell r="D48">
            <v>735000000</v>
          </cell>
          <cell r="E48">
            <v>0</v>
          </cell>
          <cell r="F48">
            <v>35000000</v>
          </cell>
          <cell r="G48">
            <v>700000000</v>
          </cell>
          <cell r="H48">
            <v>0</v>
          </cell>
        </row>
        <row r="49">
          <cell r="A49">
            <v>8002158072</v>
          </cell>
          <cell r="B49" t="str">
            <v>INSTITUTO NACIONAL DE VIAS</v>
          </cell>
          <cell r="C49">
            <v>14664301</v>
          </cell>
          <cell r="D49">
            <v>0</v>
          </cell>
          <cell r="E49">
            <v>737577031.75</v>
          </cell>
          <cell r="F49">
            <v>0</v>
          </cell>
          <cell r="G49">
            <v>737577031.75</v>
          </cell>
          <cell r="H49">
            <v>0</v>
          </cell>
        </row>
        <row r="50">
          <cell r="A50">
            <v>8901020061</v>
          </cell>
          <cell r="B50" t="str">
            <v>DEPARTAMENTO DEL ATLANTICO</v>
          </cell>
          <cell r="C50">
            <v>14631501</v>
          </cell>
          <cell r="D50">
            <v>773240710</v>
          </cell>
          <cell r="E50">
            <v>0</v>
          </cell>
          <cell r="F50">
            <v>0</v>
          </cell>
          <cell r="G50">
            <v>773240710</v>
          </cell>
          <cell r="H50">
            <v>0</v>
          </cell>
        </row>
        <row r="51">
          <cell r="A51">
            <v>8904801844</v>
          </cell>
          <cell r="B51" t="str">
            <v>DISTRITO TURISTICO Y CULTURAL DE C/GENA.</v>
          </cell>
          <cell r="C51">
            <v>14591501</v>
          </cell>
          <cell r="D51">
            <v>810916339</v>
          </cell>
          <cell r="E51">
            <v>0</v>
          </cell>
          <cell r="F51">
            <v>19371531.920000002</v>
          </cell>
          <cell r="G51">
            <v>791544807.08000004</v>
          </cell>
          <cell r="H51">
            <v>0</v>
          </cell>
        </row>
        <row r="52">
          <cell r="A52">
            <v>8001039331</v>
          </cell>
          <cell r="B52" t="str">
            <v>DEPARTAMENTO DEL VALLE DEL CAUCA</v>
          </cell>
          <cell r="C52">
            <v>14591501</v>
          </cell>
          <cell r="D52">
            <v>828897243</v>
          </cell>
          <cell r="E52">
            <v>0</v>
          </cell>
          <cell r="F52">
            <v>0</v>
          </cell>
          <cell r="G52">
            <v>828897243</v>
          </cell>
          <cell r="H52">
            <v>0</v>
          </cell>
        </row>
        <row r="53">
          <cell r="A53">
            <v>8904801844</v>
          </cell>
          <cell r="B53" t="str">
            <v>DISTRITO TURISTICO Y CULTURAL DE C/GENA.</v>
          </cell>
          <cell r="C53">
            <v>14651501</v>
          </cell>
          <cell r="D53">
            <v>834834508</v>
          </cell>
          <cell r="E53">
            <v>0</v>
          </cell>
          <cell r="F53">
            <v>0</v>
          </cell>
          <cell r="G53">
            <v>834834508</v>
          </cell>
          <cell r="H53">
            <v>0</v>
          </cell>
        </row>
        <row r="54">
          <cell r="A54">
            <v>8901020031</v>
          </cell>
          <cell r="B54" t="str">
            <v>EMPRESA DISTRITAL DE TELECOMUNICACIONES DE BQUILLA S.A E.S.P</v>
          </cell>
          <cell r="C54">
            <v>14633004</v>
          </cell>
          <cell r="D54">
            <v>845000000</v>
          </cell>
          <cell r="E54">
            <v>0</v>
          </cell>
          <cell r="F54">
            <v>0</v>
          </cell>
          <cell r="G54">
            <v>845000000</v>
          </cell>
          <cell r="H54">
            <v>0</v>
          </cell>
        </row>
        <row r="55">
          <cell r="A55">
            <v>8110086846</v>
          </cell>
          <cell r="B55" t="str">
            <v>AGUAS DE RIONEGRO S.A. E.S.P.</v>
          </cell>
          <cell r="C55">
            <v>14593004</v>
          </cell>
          <cell r="D55">
            <v>950000000</v>
          </cell>
          <cell r="E55">
            <v>0</v>
          </cell>
          <cell r="F55">
            <v>17500000</v>
          </cell>
          <cell r="G55">
            <v>932500000</v>
          </cell>
          <cell r="H55">
            <v>0</v>
          </cell>
        </row>
        <row r="56">
          <cell r="A56">
            <v>8903990453</v>
          </cell>
          <cell r="B56" t="str">
            <v>MUNICIPIO DE BUENAVENTURA</v>
          </cell>
          <cell r="C56">
            <v>14621501</v>
          </cell>
          <cell r="D56">
            <v>1015461958.0599999</v>
          </cell>
          <cell r="E56">
            <v>0</v>
          </cell>
          <cell r="F56">
            <v>0</v>
          </cell>
          <cell r="G56">
            <v>1015461958.0599999</v>
          </cell>
          <cell r="H56">
            <v>0</v>
          </cell>
        </row>
        <row r="57">
          <cell r="A57">
            <v>8913800073</v>
          </cell>
          <cell r="B57" t="str">
            <v>TESORERIA MUNICIPAL DE PALMIRA</v>
          </cell>
          <cell r="C57">
            <v>14591501</v>
          </cell>
          <cell r="D57">
            <v>1015788107</v>
          </cell>
          <cell r="E57">
            <v>0</v>
          </cell>
          <cell r="F57">
            <v>0</v>
          </cell>
          <cell r="G57">
            <v>1015788107</v>
          </cell>
          <cell r="H57">
            <v>0</v>
          </cell>
        </row>
        <row r="58">
          <cell r="A58">
            <v>8913800073</v>
          </cell>
          <cell r="B58" t="str">
            <v>TESORERIA MUNICIPAL DE PALMIRA</v>
          </cell>
          <cell r="C58">
            <v>14631501</v>
          </cell>
          <cell r="D58">
            <v>1032958418</v>
          </cell>
          <cell r="E58">
            <v>0</v>
          </cell>
          <cell r="F58">
            <v>0</v>
          </cell>
          <cell r="G58">
            <v>1032958418</v>
          </cell>
          <cell r="H58">
            <v>0</v>
          </cell>
        </row>
        <row r="59">
          <cell r="A59">
            <v>8904800591</v>
          </cell>
          <cell r="B59" t="str">
            <v>DEPARTAMENTO DE BOLIVAR</v>
          </cell>
          <cell r="C59">
            <v>14621503</v>
          </cell>
          <cell r="D59">
            <v>1034534953.02</v>
          </cell>
          <cell r="E59">
            <v>0</v>
          </cell>
          <cell r="F59">
            <v>0</v>
          </cell>
          <cell r="G59">
            <v>1034534953.02</v>
          </cell>
          <cell r="H59">
            <v>0</v>
          </cell>
        </row>
        <row r="60">
          <cell r="A60">
            <v>8150006994</v>
          </cell>
          <cell r="B60" t="str">
            <v>ACUAVIVA S.A. E.S.P.</v>
          </cell>
          <cell r="C60">
            <v>14591501</v>
          </cell>
          <cell r="D60">
            <v>1050000000</v>
          </cell>
          <cell r="E60">
            <v>0</v>
          </cell>
          <cell r="F60">
            <v>0</v>
          </cell>
          <cell r="G60">
            <v>1050000000</v>
          </cell>
          <cell r="H60">
            <v>0</v>
          </cell>
        </row>
        <row r="61">
          <cell r="A61">
            <v>8909052111</v>
          </cell>
          <cell r="B61" t="str">
            <v>MUNICIPIO DE MEDELLIN</v>
          </cell>
          <cell r="C61">
            <v>14594305</v>
          </cell>
          <cell r="D61">
            <v>1109125000</v>
          </cell>
          <cell r="E61">
            <v>0</v>
          </cell>
          <cell r="F61">
            <v>0</v>
          </cell>
          <cell r="G61">
            <v>1109125000</v>
          </cell>
          <cell r="H61">
            <v>0</v>
          </cell>
        </row>
        <row r="62">
          <cell r="A62">
            <v>8909073172</v>
          </cell>
          <cell r="B62" t="str">
            <v>MUNICIPIO DE RIONEGRO</v>
          </cell>
          <cell r="C62">
            <v>14663004</v>
          </cell>
          <cell r="D62">
            <v>1115536400</v>
          </cell>
          <cell r="E62">
            <v>0</v>
          </cell>
          <cell r="F62">
            <v>0</v>
          </cell>
          <cell r="G62">
            <v>1115536400</v>
          </cell>
          <cell r="H62">
            <v>0</v>
          </cell>
        </row>
        <row r="63">
          <cell r="A63">
            <v>8000967341</v>
          </cell>
          <cell r="B63" t="str">
            <v>MUNICIPIO DE MONTERIA</v>
          </cell>
          <cell r="C63">
            <v>14623004</v>
          </cell>
          <cell r="D63">
            <v>1220103581</v>
          </cell>
          <cell r="E63">
            <v>0</v>
          </cell>
          <cell r="F63">
            <v>0</v>
          </cell>
          <cell r="G63">
            <v>1220103581</v>
          </cell>
          <cell r="H63">
            <v>0</v>
          </cell>
        </row>
        <row r="64">
          <cell r="A64">
            <v>8915800064</v>
          </cell>
          <cell r="B64" t="str">
            <v>MUNICIPIO DE POPAYAN</v>
          </cell>
          <cell r="C64">
            <v>14631501</v>
          </cell>
          <cell r="D64">
            <v>1435145365</v>
          </cell>
          <cell r="E64">
            <v>0</v>
          </cell>
          <cell r="F64">
            <v>0</v>
          </cell>
          <cell r="G64">
            <v>1435145365</v>
          </cell>
          <cell r="H64">
            <v>0</v>
          </cell>
        </row>
        <row r="65">
          <cell r="A65">
            <v>8902012356</v>
          </cell>
          <cell r="B65" t="str">
            <v>TESORERIA GENERAL DEL DEPARTAMENTO DE SANTANDER</v>
          </cell>
          <cell r="C65">
            <v>14591501</v>
          </cell>
          <cell r="D65">
            <v>2011370469.9000001</v>
          </cell>
          <cell r="E65">
            <v>0</v>
          </cell>
          <cell r="F65">
            <v>0</v>
          </cell>
          <cell r="G65">
            <v>2011370469.9000001</v>
          </cell>
          <cell r="H65">
            <v>0</v>
          </cell>
        </row>
        <row r="66">
          <cell r="A66">
            <v>8909034624</v>
          </cell>
          <cell r="B66" t="str">
            <v>EMPRESA ANTIOQUE#A DE ENERGIA S.A. E.S.P.</v>
          </cell>
          <cell r="C66">
            <v>14594305</v>
          </cell>
          <cell r="D66">
            <v>2100000000</v>
          </cell>
          <cell r="E66">
            <v>0</v>
          </cell>
          <cell r="F66">
            <v>0</v>
          </cell>
          <cell r="G66">
            <v>2100000000</v>
          </cell>
          <cell r="H66">
            <v>0</v>
          </cell>
        </row>
        <row r="67">
          <cell r="A67">
            <v>8909801121</v>
          </cell>
          <cell r="B67" t="str">
            <v>MUNICIPIO DE BELLO</v>
          </cell>
          <cell r="C67">
            <v>14651501</v>
          </cell>
          <cell r="D67">
            <v>2125188875</v>
          </cell>
          <cell r="E67">
            <v>0</v>
          </cell>
          <cell r="F67">
            <v>0</v>
          </cell>
          <cell r="G67">
            <v>2125188875</v>
          </cell>
          <cell r="H67">
            <v>0</v>
          </cell>
        </row>
        <row r="68">
          <cell r="A68">
            <v>8915800064</v>
          </cell>
          <cell r="B68" t="str">
            <v>MUNICIPIO DE POPAYAN</v>
          </cell>
          <cell r="C68">
            <v>14591501</v>
          </cell>
          <cell r="D68">
            <v>2145121181.4400001</v>
          </cell>
          <cell r="E68">
            <v>0</v>
          </cell>
          <cell r="F68">
            <v>0</v>
          </cell>
          <cell r="G68">
            <v>2145121181.4400001</v>
          </cell>
          <cell r="H68">
            <v>0</v>
          </cell>
        </row>
        <row r="69">
          <cell r="A69">
            <v>8903990034</v>
          </cell>
          <cell r="B69" t="str">
            <v>EMPRESAS MUNICIPALES DE CALI - EMCALI E.I.C.E.</v>
          </cell>
          <cell r="C69">
            <v>14701501</v>
          </cell>
          <cell r="D69">
            <v>2371666204</v>
          </cell>
          <cell r="E69">
            <v>0</v>
          </cell>
          <cell r="F69">
            <v>0</v>
          </cell>
          <cell r="G69">
            <v>2371666204</v>
          </cell>
          <cell r="H69">
            <v>0</v>
          </cell>
        </row>
        <row r="70">
          <cell r="A70">
            <v>8915800168</v>
          </cell>
          <cell r="B70" t="str">
            <v>DEPARTAMENTO DEL CAUCA</v>
          </cell>
          <cell r="C70">
            <v>14591501</v>
          </cell>
          <cell r="D70">
            <v>2740069268</v>
          </cell>
          <cell r="E70">
            <v>0</v>
          </cell>
          <cell r="F70">
            <v>0</v>
          </cell>
          <cell r="G70">
            <v>2740069268</v>
          </cell>
          <cell r="H70">
            <v>0</v>
          </cell>
        </row>
        <row r="71">
          <cell r="A71">
            <v>8902012356</v>
          </cell>
          <cell r="B71" t="str">
            <v>TESORERIA GENERAL DEL DEPARTAMENTO DE SANTANDER</v>
          </cell>
          <cell r="C71">
            <v>14601501</v>
          </cell>
          <cell r="D71">
            <v>3175681606.6599998</v>
          </cell>
          <cell r="E71">
            <v>0</v>
          </cell>
          <cell r="F71">
            <v>0</v>
          </cell>
          <cell r="G71">
            <v>3175681606.6599998</v>
          </cell>
          <cell r="H71">
            <v>0</v>
          </cell>
        </row>
        <row r="72">
          <cell r="A72">
            <v>8901020181</v>
          </cell>
          <cell r="B72" t="str">
            <v>DISTRITO DE BARRANQUILLA</v>
          </cell>
          <cell r="C72">
            <v>14631501</v>
          </cell>
          <cell r="D72">
            <v>3286619994</v>
          </cell>
          <cell r="E72">
            <v>0</v>
          </cell>
          <cell r="F72">
            <v>0</v>
          </cell>
          <cell r="G72">
            <v>3286619994</v>
          </cell>
          <cell r="H72">
            <v>0</v>
          </cell>
        </row>
        <row r="73">
          <cell r="A73">
            <v>8903990303</v>
          </cell>
          <cell r="B73" t="str">
            <v>EMSIRVA E.S.P.</v>
          </cell>
          <cell r="C73">
            <v>14601501</v>
          </cell>
          <cell r="D73">
            <v>3366320000</v>
          </cell>
          <cell r="E73">
            <v>0</v>
          </cell>
          <cell r="F73">
            <v>0</v>
          </cell>
          <cell r="G73">
            <v>3366320000</v>
          </cell>
          <cell r="H73">
            <v>0</v>
          </cell>
        </row>
        <row r="74">
          <cell r="A74">
            <v>8901020181</v>
          </cell>
          <cell r="B74" t="str">
            <v>DISTRITO DE BARRANQUILLA</v>
          </cell>
          <cell r="C74">
            <v>14591501</v>
          </cell>
          <cell r="D74">
            <v>3811561849</v>
          </cell>
          <cell r="E74">
            <v>145110042</v>
          </cell>
          <cell r="F74">
            <v>8574696</v>
          </cell>
          <cell r="G74">
            <v>3948097195</v>
          </cell>
          <cell r="H74">
            <v>0</v>
          </cell>
        </row>
        <row r="75">
          <cell r="A75">
            <v>8915800168</v>
          </cell>
          <cell r="B75" t="str">
            <v>DEPARTAMENTO DEL CAUCA</v>
          </cell>
          <cell r="C75">
            <v>14621501</v>
          </cell>
          <cell r="D75">
            <v>4161294304.9200001</v>
          </cell>
          <cell r="E75">
            <v>0</v>
          </cell>
          <cell r="F75">
            <v>0</v>
          </cell>
          <cell r="G75">
            <v>4161294304.9200001</v>
          </cell>
          <cell r="H75">
            <v>0</v>
          </cell>
        </row>
        <row r="76">
          <cell r="A76">
            <v>8001039331</v>
          </cell>
          <cell r="B76" t="str">
            <v>DEPARTAMENTO DEL VALLE DEL CAUCA</v>
          </cell>
          <cell r="C76">
            <v>14603004</v>
          </cell>
          <cell r="D76">
            <v>7903242000</v>
          </cell>
          <cell r="E76">
            <v>0</v>
          </cell>
          <cell r="F76">
            <v>0</v>
          </cell>
          <cell r="G76">
            <v>7903242000</v>
          </cell>
          <cell r="H76">
            <v>0</v>
          </cell>
        </row>
        <row r="77">
          <cell r="A77">
            <v>8001039331</v>
          </cell>
          <cell r="B77" t="str">
            <v>DEPARTAMENTO DEL VALLE DEL CAUCA</v>
          </cell>
          <cell r="C77">
            <v>14601501</v>
          </cell>
          <cell r="D77">
            <v>9868451207.2700005</v>
          </cell>
          <cell r="E77">
            <v>0</v>
          </cell>
          <cell r="F77">
            <v>0</v>
          </cell>
          <cell r="G77">
            <v>9868451207.2700005</v>
          </cell>
          <cell r="H77">
            <v>0</v>
          </cell>
        </row>
        <row r="78">
          <cell r="A78">
            <v>8999990619</v>
          </cell>
          <cell r="B78" t="str">
            <v>DIRECCION DISTRITAL DE TESORERIA</v>
          </cell>
          <cell r="C78">
            <v>14591501</v>
          </cell>
          <cell r="D78">
            <v>10000000000</v>
          </cell>
          <cell r="E78">
            <v>0</v>
          </cell>
          <cell r="F78">
            <v>0</v>
          </cell>
          <cell r="G78">
            <v>10000000000</v>
          </cell>
          <cell r="H78">
            <v>0</v>
          </cell>
        </row>
        <row r="79">
          <cell r="A79">
            <v>8903990113</v>
          </cell>
          <cell r="B79" t="str">
            <v>TESORERIA MUNICIPAL DE CALI</v>
          </cell>
          <cell r="C79">
            <v>14591501</v>
          </cell>
          <cell r="D79">
            <v>81173599295.079987</v>
          </cell>
          <cell r="E79">
            <v>25225320029.540001</v>
          </cell>
          <cell r="F79">
            <v>17813301177.670002</v>
          </cell>
          <cell r="G79">
            <v>119280657883.73</v>
          </cell>
          <cell r="H79">
            <v>-30695039736.779999</v>
          </cell>
        </row>
        <row r="80">
          <cell r="A80">
            <v>8903990113</v>
          </cell>
          <cell r="B80" t="str">
            <v>TESORERIA MUNICIPAL DE CALI</v>
          </cell>
          <cell r="C80">
            <v>14631501</v>
          </cell>
          <cell r="D80">
            <v>11537119797</v>
          </cell>
          <cell r="E80">
            <v>0</v>
          </cell>
          <cell r="F80">
            <v>0</v>
          </cell>
          <cell r="G80">
            <v>11537119797</v>
          </cell>
          <cell r="H80">
            <v>0</v>
          </cell>
        </row>
        <row r="81">
          <cell r="A81">
            <v>8999990619</v>
          </cell>
          <cell r="B81" t="str">
            <v>DIRECCION DISTRITAL DE TESORERIA</v>
          </cell>
          <cell r="C81">
            <v>14661501</v>
          </cell>
          <cell r="D81">
            <v>13247921344</v>
          </cell>
          <cell r="E81">
            <v>0</v>
          </cell>
          <cell r="F81">
            <v>0</v>
          </cell>
          <cell r="G81">
            <v>13247921344</v>
          </cell>
          <cell r="H81">
            <v>0</v>
          </cell>
        </row>
        <row r="82">
          <cell r="A82">
            <v>8903990034</v>
          </cell>
          <cell r="B82" t="str">
            <v>EMPRESAS MUNICIPALES DE CALI - EMCALI E.I.C.E.</v>
          </cell>
          <cell r="C82">
            <v>14701503</v>
          </cell>
          <cell r="D82">
            <v>15847134727</v>
          </cell>
          <cell r="E82">
            <v>0</v>
          </cell>
          <cell r="F82">
            <v>0</v>
          </cell>
          <cell r="G82">
            <v>15847134727</v>
          </cell>
          <cell r="H82">
            <v>0</v>
          </cell>
        </row>
        <row r="84">
          <cell r="D84">
            <v>103849204771.12999</v>
          </cell>
          <cell r="E84">
            <v>1083551221.55</v>
          </cell>
          <cell r="F84">
            <v>240404902.69999999</v>
          </cell>
          <cell r="G84">
            <v>134221716591.88</v>
          </cell>
          <cell r="H84">
            <v>-29529365501.900002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 recip"/>
      <sheetName val="Estado de Resultados"/>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1"/>
      <sheetName val="DATA2"/>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tubr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showGridLines="0" zoomScale="110" zoomScaleNormal="110" workbookViewId="0">
      <selection activeCell="C15" sqref="C15:D15"/>
    </sheetView>
  </sheetViews>
  <sheetFormatPr baseColWidth="10" defaultColWidth="0" defaultRowHeight="0" customHeight="1" zeroHeight="1" x14ac:dyDescent="0.2"/>
  <cols>
    <col min="1" max="1" width="3.85546875" style="2" customWidth="1"/>
    <col min="2" max="2" width="15.28515625" style="2" customWidth="1"/>
    <col min="3" max="3" width="17.28515625" style="2" customWidth="1"/>
    <col min="4" max="4" width="28.42578125" style="2" customWidth="1"/>
    <col min="5" max="5" width="12.85546875" style="2" customWidth="1"/>
    <col min="6" max="6" width="47.140625" style="2" customWidth="1"/>
    <col min="7" max="7" width="21.42578125" style="2" customWidth="1"/>
    <col min="8" max="8" width="6.42578125" style="2" customWidth="1"/>
    <col min="9" max="9" width="2.42578125" style="2" customWidth="1"/>
    <col min="10" max="16384" width="11.42578125" style="2" hidden="1"/>
  </cols>
  <sheetData>
    <row r="1" spans="2:8" ht="13.5" thickBot="1" x14ac:dyDescent="0.25"/>
    <row r="2" spans="2:8" ht="73.5" customHeight="1" x14ac:dyDescent="0.2">
      <c r="B2" s="371" t="s">
        <v>0</v>
      </c>
      <c r="C2" s="372"/>
      <c r="D2" s="372"/>
      <c r="E2" s="372"/>
      <c r="F2" s="372"/>
      <c r="G2" s="372"/>
      <c r="H2" s="373"/>
    </row>
    <row r="3" spans="2:8" ht="12.75" x14ac:dyDescent="0.2">
      <c r="B3" s="51"/>
      <c r="H3" s="52"/>
    </row>
    <row r="4" spans="2:8" ht="12.75" x14ac:dyDescent="0.2">
      <c r="B4" s="51"/>
      <c r="H4" s="52"/>
    </row>
    <row r="5" spans="2:8" ht="12.75" x14ac:dyDescent="0.2">
      <c r="B5" s="53"/>
      <c r="C5" s="3"/>
      <c r="D5" s="3"/>
      <c r="E5" s="3"/>
      <c r="F5" s="3"/>
      <c r="G5" s="3"/>
      <c r="H5" s="54"/>
    </row>
    <row r="6" spans="2:8" ht="54.75" customHeight="1" x14ac:dyDescent="0.2">
      <c r="B6" s="374" t="s">
        <v>1</v>
      </c>
      <c r="C6" s="375"/>
      <c r="D6" s="375"/>
      <c r="E6" s="375"/>
      <c r="F6" s="375"/>
      <c r="G6" s="375"/>
      <c r="H6" s="376"/>
    </row>
    <row r="7" spans="2:8" ht="63" customHeight="1" x14ac:dyDescent="0.2">
      <c r="B7" s="374"/>
      <c r="C7" s="375"/>
      <c r="D7" s="375"/>
      <c r="E7" s="375"/>
      <c r="F7" s="375"/>
      <c r="G7" s="375"/>
      <c r="H7" s="376"/>
    </row>
    <row r="8" spans="2:8" ht="21.75" customHeight="1" x14ac:dyDescent="0.2">
      <c r="B8" s="377" t="s">
        <v>2</v>
      </c>
      <c r="C8" s="378"/>
      <c r="D8" s="378"/>
      <c r="E8" s="378"/>
      <c r="F8" s="378"/>
      <c r="G8" s="378"/>
      <c r="H8" s="379"/>
    </row>
    <row r="9" spans="2:8" ht="42" customHeight="1" x14ac:dyDescent="0.2">
      <c r="B9" s="344" t="s">
        <v>3</v>
      </c>
      <c r="C9" s="345"/>
      <c r="D9" s="345"/>
      <c r="E9" s="345"/>
      <c r="F9" s="345"/>
      <c r="G9" s="345"/>
      <c r="H9" s="346"/>
    </row>
    <row r="10" spans="2:8" ht="43.5" customHeight="1" x14ac:dyDescent="0.2">
      <c r="B10" s="344"/>
      <c r="C10" s="345"/>
      <c r="D10" s="345"/>
      <c r="E10" s="345"/>
      <c r="F10" s="345"/>
      <c r="G10" s="345"/>
      <c r="H10" s="346"/>
    </row>
    <row r="11" spans="2:8" ht="12.75" customHeight="1" thickBot="1" x14ac:dyDescent="0.25">
      <c r="B11" s="51"/>
      <c r="D11" s="4"/>
      <c r="E11" s="5"/>
      <c r="F11" s="5"/>
      <c r="G11" s="6"/>
      <c r="H11" s="52"/>
    </row>
    <row r="12" spans="2:8" ht="21" customHeight="1" thickTop="1" x14ac:dyDescent="0.2">
      <c r="B12" s="51"/>
      <c r="C12" s="359" t="s">
        <v>4</v>
      </c>
      <c r="D12" s="360"/>
      <c r="E12" s="347" t="s">
        <v>5</v>
      </c>
      <c r="F12" s="348"/>
      <c r="H12" s="52"/>
    </row>
    <row r="13" spans="2:8" ht="37.5" customHeight="1" x14ac:dyDescent="0.2">
      <c r="B13" s="51"/>
      <c r="C13" s="357" t="s">
        <v>6</v>
      </c>
      <c r="D13" s="358"/>
      <c r="E13" s="349" t="s">
        <v>7</v>
      </c>
      <c r="F13" s="350"/>
      <c r="H13" s="52"/>
    </row>
    <row r="14" spans="2:8" ht="39.75" customHeight="1" x14ac:dyDescent="0.2">
      <c r="B14" s="51"/>
      <c r="C14" s="355" t="s">
        <v>8</v>
      </c>
      <c r="D14" s="356"/>
      <c r="E14" s="353" t="s">
        <v>9</v>
      </c>
      <c r="F14" s="354"/>
      <c r="H14" s="52"/>
    </row>
    <row r="15" spans="2:8" ht="180.75" customHeight="1" x14ac:dyDescent="0.2">
      <c r="B15" s="51"/>
      <c r="C15" s="355" t="s">
        <v>10</v>
      </c>
      <c r="D15" s="356"/>
      <c r="E15" s="353" t="s">
        <v>11</v>
      </c>
      <c r="F15" s="354"/>
      <c r="H15" s="52"/>
    </row>
    <row r="16" spans="2:8" ht="15.75" customHeight="1" x14ac:dyDescent="0.2">
      <c r="B16" s="51"/>
      <c r="C16" s="382" t="s">
        <v>12</v>
      </c>
      <c r="D16" s="13" t="s">
        <v>13</v>
      </c>
      <c r="E16" s="353" t="s">
        <v>14</v>
      </c>
      <c r="F16" s="354"/>
      <c r="H16" s="52"/>
    </row>
    <row r="17" spans="2:8" ht="54" customHeight="1" x14ac:dyDescent="0.2">
      <c r="B17" s="51"/>
      <c r="C17" s="383"/>
      <c r="D17" s="33" t="s">
        <v>15</v>
      </c>
      <c r="E17" s="361" t="s">
        <v>16</v>
      </c>
      <c r="F17" s="362"/>
      <c r="H17" s="52"/>
    </row>
    <row r="18" spans="2:8" ht="98.25" customHeight="1" x14ac:dyDescent="0.2">
      <c r="B18" s="51"/>
      <c r="C18" s="383"/>
      <c r="D18" s="33" t="s">
        <v>17</v>
      </c>
      <c r="E18" s="361" t="s">
        <v>18</v>
      </c>
      <c r="F18" s="362"/>
      <c r="H18" s="52"/>
    </row>
    <row r="19" spans="2:8" ht="83.25" customHeight="1" thickBot="1" x14ac:dyDescent="0.25">
      <c r="B19" s="51"/>
      <c r="C19" s="384" t="s">
        <v>19</v>
      </c>
      <c r="D19" s="385"/>
      <c r="E19" s="351" t="s">
        <v>20</v>
      </c>
      <c r="F19" s="352"/>
      <c r="H19" s="52"/>
    </row>
    <row r="20" spans="2:8" ht="19.5" customHeight="1" thickTop="1" x14ac:dyDescent="0.2">
      <c r="B20" s="51"/>
      <c r="C20" s="7"/>
      <c r="D20" s="7"/>
      <c r="E20" s="8"/>
      <c r="F20" s="8"/>
      <c r="H20" s="52"/>
    </row>
    <row r="21" spans="2:8" ht="37.5" customHeight="1" x14ac:dyDescent="0.2">
      <c r="B21" s="367" t="s">
        <v>21</v>
      </c>
      <c r="C21" s="368"/>
      <c r="D21" s="368"/>
      <c r="E21" s="368"/>
      <c r="F21" s="368"/>
      <c r="G21" s="368"/>
      <c r="H21" s="369"/>
    </row>
    <row r="22" spans="2:8" ht="27.75" customHeight="1" x14ac:dyDescent="0.2">
      <c r="B22" s="51"/>
      <c r="H22" s="52"/>
    </row>
    <row r="23" spans="2:8" ht="27.75" customHeight="1" x14ac:dyDescent="0.2">
      <c r="B23" s="51"/>
      <c r="C23" s="136" t="s">
        <v>22</v>
      </c>
      <c r="D23" s="386" t="s">
        <v>5</v>
      </c>
      <c r="E23" s="386"/>
      <c r="F23" s="386" t="s">
        <v>23</v>
      </c>
      <c r="G23" s="386"/>
      <c r="H23" s="52"/>
    </row>
    <row r="24" spans="2:8" ht="59.25" customHeight="1" x14ac:dyDescent="0.2">
      <c r="B24" s="51"/>
      <c r="C24" s="76" t="s">
        <v>24</v>
      </c>
      <c r="D24" s="363" t="s">
        <v>25</v>
      </c>
      <c r="E24" s="363"/>
      <c r="F24" s="363" t="s">
        <v>26</v>
      </c>
      <c r="G24" s="363"/>
      <c r="H24" s="52"/>
    </row>
    <row r="25" spans="2:8" ht="53.25" customHeight="1" x14ac:dyDescent="0.2">
      <c r="B25" s="51"/>
      <c r="C25" s="77" t="s">
        <v>27</v>
      </c>
      <c r="D25" s="363" t="s">
        <v>28</v>
      </c>
      <c r="E25" s="363"/>
      <c r="F25" s="363" t="s">
        <v>29</v>
      </c>
      <c r="G25" s="363"/>
      <c r="H25" s="52"/>
    </row>
    <row r="26" spans="2:8" ht="62.25" customHeight="1" x14ac:dyDescent="0.2">
      <c r="B26" s="51"/>
      <c r="C26" s="78" t="s">
        <v>30</v>
      </c>
      <c r="D26" s="363" t="s">
        <v>31</v>
      </c>
      <c r="E26" s="363"/>
      <c r="F26" s="363" t="s">
        <v>32</v>
      </c>
      <c r="G26" s="363"/>
      <c r="H26" s="52"/>
    </row>
    <row r="27" spans="2:8" ht="70.5" customHeight="1" x14ac:dyDescent="0.2">
      <c r="B27" s="51"/>
      <c r="C27" s="79" t="s">
        <v>33</v>
      </c>
      <c r="D27" s="363" t="s">
        <v>34</v>
      </c>
      <c r="E27" s="363"/>
      <c r="F27" s="363" t="s">
        <v>35</v>
      </c>
      <c r="G27" s="363"/>
      <c r="H27" s="52"/>
    </row>
    <row r="28" spans="2:8" ht="11.25" customHeight="1" x14ac:dyDescent="0.2">
      <c r="B28" s="55"/>
      <c r="C28" s="50"/>
      <c r="D28" s="50"/>
      <c r="E28" s="50"/>
      <c r="F28" s="50"/>
      <c r="G28" s="50"/>
      <c r="H28" s="56"/>
    </row>
    <row r="29" spans="2:8" ht="14.25" customHeight="1" x14ac:dyDescent="0.2">
      <c r="B29" s="134"/>
      <c r="C29" s="380"/>
      <c r="D29" s="380"/>
      <c r="E29" s="381"/>
      <c r="F29" s="381"/>
      <c r="G29" s="381"/>
      <c r="H29" s="135"/>
    </row>
    <row r="30" spans="2:8" ht="27.75" customHeight="1" x14ac:dyDescent="0.2">
      <c r="B30" s="367" t="s">
        <v>36</v>
      </c>
      <c r="C30" s="368"/>
      <c r="D30" s="368"/>
      <c r="E30" s="368"/>
      <c r="F30" s="368"/>
      <c r="G30" s="368"/>
      <c r="H30" s="369"/>
    </row>
    <row r="31" spans="2:8" ht="13.5" x14ac:dyDescent="0.2">
      <c r="B31" s="51"/>
      <c r="C31" s="9"/>
      <c r="D31" s="9"/>
      <c r="E31" s="370"/>
      <c r="F31" s="370"/>
      <c r="H31" s="52"/>
    </row>
    <row r="32" spans="2:8" ht="16.5" x14ac:dyDescent="0.2">
      <c r="B32" s="364" t="s">
        <v>37</v>
      </c>
      <c r="C32" s="365"/>
      <c r="D32" s="365"/>
      <c r="E32" s="365"/>
      <c r="F32" s="365"/>
      <c r="G32" s="365"/>
      <c r="H32" s="366"/>
    </row>
    <row r="33" spans="2:8" ht="13.5" thickBot="1" x14ac:dyDescent="0.25">
      <c r="B33" s="57"/>
      <c r="C33" s="58"/>
      <c r="D33" s="58"/>
      <c r="E33" s="58"/>
      <c r="F33" s="58"/>
      <c r="G33" s="58"/>
      <c r="H33" s="59"/>
    </row>
    <row r="34" spans="2:8" ht="12.75" x14ac:dyDescent="0.2"/>
    <row r="35" spans="2:8" ht="29.25" customHeight="1" x14ac:dyDescent="0.2"/>
    <row r="36" spans="2:8" ht="26.25" customHeight="1" x14ac:dyDescent="0.2"/>
    <row r="37" spans="2:8" ht="43.5" customHeight="1" x14ac:dyDescent="0.2"/>
    <row r="38" spans="2:8" ht="53.25" customHeight="1" x14ac:dyDescent="0.2"/>
    <row r="39" spans="2:8" ht="12.75" x14ac:dyDescent="0.2"/>
    <row r="40" spans="2:8" ht="12.75" x14ac:dyDescent="0.2"/>
    <row r="41" spans="2:8" ht="12.75" x14ac:dyDescent="0.2"/>
    <row r="42" spans="2:8" ht="12.75" x14ac:dyDescent="0.2"/>
    <row r="43" spans="2:8" ht="12.75" x14ac:dyDescent="0.2"/>
    <row r="44" spans="2:8" ht="12.75" x14ac:dyDescent="0.2"/>
    <row r="45" spans="2:8" ht="12.75" customHeight="1" x14ac:dyDescent="0.2"/>
    <row r="46" spans="2:8" ht="12.75" customHeight="1" x14ac:dyDescent="0.2"/>
    <row r="47" spans="2:8" ht="12.75" customHeight="1" x14ac:dyDescent="0.2"/>
    <row r="48" spans="2: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sheetData>
  <sheetProtection selectLockedCells="1" selectUnlockedCells="1"/>
  <mergeCells count="34">
    <mergeCell ref="B2:H2"/>
    <mergeCell ref="B6:H7"/>
    <mergeCell ref="B8:H8"/>
    <mergeCell ref="C29:D29"/>
    <mergeCell ref="E29:G29"/>
    <mergeCell ref="C15:D15"/>
    <mergeCell ref="C16:C18"/>
    <mergeCell ref="C19:D19"/>
    <mergeCell ref="E16:F16"/>
    <mergeCell ref="D24:E24"/>
    <mergeCell ref="D23:E23"/>
    <mergeCell ref="F26:G26"/>
    <mergeCell ref="F27:G27"/>
    <mergeCell ref="F23:G23"/>
    <mergeCell ref="D27:E27"/>
    <mergeCell ref="F24:G24"/>
    <mergeCell ref="F25:G25"/>
    <mergeCell ref="D25:E25"/>
    <mergeCell ref="B32:H32"/>
    <mergeCell ref="E18:F18"/>
    <mergeCell ref="B21:H21"/>
    <mergeCell ref="E31:F31"/>
    <mergeCell ref="D26:E26"/>
    <mergeCell ref="B30:H30"/>
    <mergeCell ref="B9:H10"/>
    <mergeCell ref="E12:F12"/>
    <mergeCell ref="E13:F13"/>
    <mergeCell ref="E19:F19"/>
    <mergeCell ref="E15:F15"/>
    <mergeCell ref="C14:D14"/>
    <mergeCell ref="C13:D13"/>
    <mergeCell ref="C12:D12"/>
    <mergeCell ref="E14:F14"/>
    <mergeCell ref="E17:F1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82"/>
  <sheetViews>
    <sheetView workbookViewId="0"/>
  </sheetViews>
  <sheetFormatPr baseColWidth="10" defaultColWidth="11.42578125" defaultRowHeight="12.75" x14ac:dyDescent="0.2"/>
  <cols>
    <col min="2" max="4" width="22.28515625" customWidth="1"/>
    <col min="5" max="5" width="34.42578125" customWidth="1"/>
    <col min="6" max="6" width="36.42578125" bestFit="1" customWidth="1"/>
    <col min="8" max="8" width="12.28515625" bestFit="1" customWidth="1"/>
    <col min="9" max="9" width="12.7109375" customWidth="1"/>
    <col min="13" max="14" width="17.42578125" customWidth="1"/>
  </cols>
  <sheetData>
    <row r="1" spans="1:19" ht="81.75" customHeight="1" x14ac:dyDescent="0.2">
      <c r="A1" s="145" t="s">
        <v>111</v>
      </c>
      <c r="B1" s="145" t="s">
        <v>328</v>
      </c>
      <c r="C1" s="146" t="s">
        <v>329</v>
      </c>
      <c r="D1" s="146" t="s">
        <v>330</v>
      </c>
      <c r="E1" s="146" t="s">
        <v>331</v>
      </c>
      <c r="F1" s="145" t="s">
        <v>135</v>
      </c>
      <c r="G1" s="147" t="s">
        <v>332</v>
      </c>
      <c r="H1" s="147" t="s">
        <v>333</v>
      </c>
      <c r="I1" s="147" t="s">
        <v>334</v>
      </c>
      <c r="J1" s="147" t="s">
        <v>80</v>
      </c>
      <c r="K1" s="147" t="s">
        <v>89</v>
      </c>
      <c r="L1" s="147" t="s">
        <v>335</v>
      </c>
      <c r="M1" s="61" t="s">
        <v>336</v>
      </c>
      <c r="N1" s="61"/>
    </row>
    <row r="2" spans="1:19" ht="12.75" customHeight="1" x14ac:dyDescent="0.2">
      <c r="A2" s="131" t="s">
        <v>337</v>
      </c>
      <c r="B2" s="131" t="str">
        <f>+LEFT(A2,1)</f>
        <v>1</v>
      </c>
      <c r="C2" s="131" t="str">
        <f>+MID(VLOOKUP(A2,'Ambiente de Control'!$B$21:$C$235,2,0),4,LEN(VLOOKUP(A2,'Ambiente de Control'!$B$21:$C$235,2,0))-4)</f>
        <v xml:space="preserve"> Aplicación del Código de Integridad. (incluye análisis de desviaciones, convivencia laboral, temas disciplinarios internos, quejas o denuncias sobres los servidores de la entidad, u otros temas relacionados)</v>
      </c>
      <c r="D2" s="131" t="s">
        <v>338</v>
      </c>
      <c r="E2" s="131" t="str">
        <f>+VLOOKUP(A2,'Ambiente de Control'!$B$21:$D$235,3,0)</f>
        <v>Dimensión Talento Humano
Política Integridad</v>
      </c>
      <c r="F2" s="131" t="str">
        <f>+VLOOKUP(A2,'Ambiente de Control'!$B$21:$K$235,10,0)</f>
        <v>Mantenimiento del control</v>
      </c>
      <c r="G2" s="131">
        <f>+VLOOKUP(A2,'Ambiente de Control'!$B$21:$O$39,13)</f>
        <v>60.045870000000001</v>
      </c>
      <c r="H2" s="133">
        <f>+_xlfn.RANK.EQ(G2,$G$2:$G$82,1)</f>
        <v>5</v>
      </c>
      <c r="I2" s="131" t="str">
        <f t="shared" ref="I2:I33" si="0">+IF(F2=$F$2,$P$4,IF(F2=$F$3,$P$2,$P$3))</f>
        <v>Cuando en el análisis de los requerimientos en los diferenes componentes del MECI se cuente con aspectos evaluados en nivel 1 (presente) y 1 (funcionando); 2 (presente) y 1 (funcionando).</v>
      </c>
      <c r="J2" s="131" t="s">
        <v>339</v>
      </c>
      <c r="K2" s="131">
        <f>+IF(ISBLANK(VLOOKUP(A2,'Ambiente de Control'!$B$24:$F$235,5,0)),"",VLOOKUP(A2,'Ambiente de Control'!$B$24:$F$235,5,0))</f>
        <v>3</v>
      </c>
      <c r="L2" s="131">
        <f>+IF(ISBLANK(VLOOKUP(A2,'Ambiente de Control'!$B$24:$K$235,9,0)),"",VLOOKUP(A2,'Ambiente de Control'!$B$24:$K$235,9,0))</f>
        <v>3</v>
      </c>
      <c r="M2" s="131">
        <f t="shared" ref="M2" si="1">+IF(OR(AND(K2=1,L2=1),AND(ISBLANK(K2),ISBLANK(L2)),K2="",L2=""),0,IF(OR(AND(K2=1,L2=2),AND(K2=1,L2=3)),0.25,IF(OR(AND(K2=2,L2=2),AND(K2=3,L2=1),AND(K2=3,L2=2),AND(K2=2,L2=1)),0.5,IF(AND(K2=2,L2=3),0.75,1))))</f>
        <v>1</v>
      </c>
      <c r="N2" s="131">
        <f>+AVERAGEIF($D$2:$D$82,D2,$M$2:$M$82)</f>
        <v>0.91666666666666663</v>
      </c>
      <c r="O2" s="129" t="s">
        <v>27</v>
      </c>
      <c r="P2" s="130" t="s">
        <v>340</v>
      </c>
      <c r="Q2" s="130"/>
      <c r="R2" s="131"/>
      <c r="S2" s="131"/>
    </row>
    <row r="3" spans="1:19" ht="12.75" customHeight="1" x14ac:dyDescent="0.2">
      <c r="A3" s="131" t="s">
        <v>341</v>
      </c>
      <c r="B3" s="131" t="str">
        <f t="shared" ref="B3:B42" si="2">+LEFT(A3,1)</f>
        <v>1</v>
      </c>
      <c r="C3" s="131" t="str">
        <f>+MID(VLOOKUP(A3,'Ambiente de Control'!$B$21:$C$235,2,0),4,LEN(VLOOKUP(A3,'Ambiente de Control'!$B$21:$C$235,2,0))-4)</f>
        <v xml:space="preserve"> Mecanismos para el manejo de conflictos de interés.</v>
      </c>
      <c r="D3" s="131" t="s">
        <v>338</v>
      </c>
      <c r="E3" s="131" t="str">
        <f>+VLOOKUP(A3,'Ambiente de Control'!$B$21:$D$235,3,0)</f>
        <v>Dimensión Talento Humano
Política Integridad</v>
      </c>
      <c r="F3" s="131" t="str">
        <f>+VLOOKUP(A3,'Ambiente de Control'!$B$21:$K$235,10,0)</f>
        <v>Mantenimiento del control</v>
      </c>
      <c r="G3" s="131">
        <f>+VLOOKUP(A3,'Ambiente de Control'!$B$21:$O$235,13,0)</f>
        <v>60.055689999999998</v>
      </c>
      <c r="H3" s="133">
        <f t="shared" ref="H3:H70" si="3">+_xlfn.RANK.EQ(G3,$G$2:$G$82,1)</f>
        <v>6</v>
      </c>
      <c r="I3" s="131" t="str">
        <f t="shared" si="0"/>
        <v>Cuando en el análisis de los requerimientos en los diferenes componentes del MECI se cuente con aspectos evaluados en nivel 1 (presente) y 1 (funcionando); 2 (presente) y 1 (funcionando).</v>
      </c>
      <c r="J3" s="131" t="s">
        <v>339</v>
      </c>
      <c r="K3" s="131">
        <f>+IF(ISBLANK(VLOOKUP(A3,'Ambiente de Control'!$B$24:$F$235,5,0)),"",VLOOKUP(A3,'Ambiente de Control'!$B$24:$F$235,5,0))</f>
        <v>3</v>
      </c>
      <c r="L3" s="131">
        <f>+IF(ISBLANK(VLOOKUP(A3,'Ambiente de Control'!$B$24:$K$235,9,0)),"",VLOOKUP(A3,'Ambiente de Control'!$B$24:$K$235,9,0))</f>
        <v>3</v>
      </c>
      <c r="M3" s="131">
        <f>+IF(OR(AND(K3=1,L3=1),AND(ISBLANK(K3),ISBLANK(L3)),K3="",L3=""),0,IF(OR(AND(K3=1,L3=2),AND(K3=1,L3=3)),0.25,IF(OR(AND(K3=2,L3=2),AND(K3=3,L3=1),AND(K3=3,L3=2),AND(K3=2,L3=1)),0.5,IF(AND(K3=2,L3=3),0.75,1))))</f>
        <v>1</v>
      </c>
      <c r="N3" s="131">
        <f t="shared" ref="N3:N70" si="4">+AVERAGEIF($D$2:$D$82,D3,$M$2:$M$82)</f>
        <v>0.91666666666666663</v>
      </c>
      <c r="O3" s="132" t="s">
        <v>30</v>
      </c>
      <c r="P3" s="130" t="s">
        <v>342</v>
      </c>
      <c r="Q3" s="130"/>
      <c r="R3" s="131" t="s">
        <v>343</v>
      </c>
      <c r="S3" s="131"/>
    </row>
    <row r="4" spans="1:19" ht="16.5" customHeight="1" x14ac:dyDescent="0.2">
      <c r="A4" s="131" t="s">
        <v>344</v>
      </c>
      <c r="B4" s="131" t="str">
        <f t="shared" si="2"/>
        <v>1</v>
      </c>
      <c r="C4" s="131" t="str">
        <f>+MID(VLOOKUP(A4,'Ambiente de Control'!$B$21:$C$235,2,0),4,LEN(VLOOKUP(A4,'Ambiente de Control'!$B$21:$C$235,2,0))-4)</f>
        <v xml:space="preserve"> Mecanismos frente a la detección y prevención del uso inadecuado de información privilegiada u otras situaciones que puedan implicar riesgos para la entidad</v>
      </c>
      <c r="D4" s="131" t="s">
        <v>338</v>
      </c>
      <c r="E4" s="131" t="str">
        <f>+VLOOKUP(A4,'Ambiente de Control'!$B$21:$D$235,3,0)</f>
        <v>Dimensión Información y Comunicación
Política Transparencia y Acceso a la Información Pública
Política Gestión Documental</v>
      </c>
      <c r="F4" s="131" t="str">
        <f>+VLOOKUP(A4,'Ambiente de Control'!$B$21:$K$235,10,0)</f>
        <v>Deficiencia de control (diseño o ejecución)</v>
      </c>
      <c r="G4" s="131">
        <f>+VLOOKUP(A4,'Ambiente de Control'!$B$21:$O$235,13,0)</f>
        <v>20.066896</v>
      </c>
      <c r="H4" s="133">
        <f t="shared" si="3"/>
        <v>1</v>
      </c>
      <c r="I4" s="131" t="str">
        <f t="shared" si="0"/>
        <v>Cuando en el análisis de los requerimientos en los diferenes componentes del MECI se cuente con aspectos evaluados en nivel 2 (presente) y 2 (funcionando); 3 (presente) y 1 (funcionando); 3 (presente) y 2 (funcionando).</v>
      </c>
      <c r="J4" s="131" t="s">
        <v>339</v>
      </c>
      <c r="K4" s="131">
        <f>+IF(ISBLANK(VLOOKUP(A4,'Ambiente de Control'!$B$24:$F$235,5,0)),"",VLOOKUP(A4,'Ambiente de Control'!$B$24:$F$235,5,0))</f>
        <v>3</v>
      </c>
      <c r="L4" s="131">
        <f>+IF(ISBLANK(VLOOKUP(A4,'Ambiente de Control'!$B$24:$K$235,9,0)),"",VLOOKUP(A4,'Ambiente de Control'!$B$24:$K$235,9,0))</f>
        <v>2</v>
      </c>
      <c r="M4" s="131">
        <f t="shared" ref="M4:M67" si="5">+IF(OR(AND(K4=1,L4=1),AND(ISBLANK(K4),ISBLANK(L4)),K4="",L4=""),0,IF(OR(AND(K4=1,L4=2),AND(K4=1,L4=3)),0.25,IF(OR(AND(K4=2,L4=2),AND(K4=3,L4=1),AND(K4=3,L4=2),AND(K4=2,L4=1)),0.5,IF(AND(K4=2,L4=3),0.75,1))))</f>
        <v>0.5</v>
      </c>
      <c r="N4" s="131">
        <f t="shared" si="4"/>
        <v>0.91666666666666663</v>
      </c>
      <c r="O4" s="132" t="s">
        <v>33</v>
      </c>
      <c r="P4" s="130" t="s">
        <v>345</v>
      </c>
      <c r="Q4" s="130"/>
      <c r="R4" s="131"/>
      <c r="S4" s="131"/>
    </row>
    <row r="5" spans="1:19" x14ac:dyDescent="0.2">
      <c r="A5" s="131" t="s">
        <v>346</v>
      </c>
      <c r="B5" s="131" t="str">
        <f t="shared" si="2"/>
        <v>1</v>
      </c>
      <c r="C5" s="131" t="str">
        <f>+MID(VLOOKUP(A5,'Ambiente de Control'!$B$21:$C$235,2,0),4,LEN(VLOOKUP(A5,'Ambiente de Control'!$B$21:$C$235,2,0))-4)</f>
        <v xml:space="preserve"> La evaluación de las acciones transversales de integridad, mediante el monitoreo permanente de los riesgos de corrupción.</v>
      </c>
      <c r="D5" s="131" t="s">
        <v>338</v>
      </c>
      <c r="E5" s="131" t="str">
        <f>+VLOOKUP(A5,'Ambiente de Control'!$B$21:$D$235,3,0)</f>
        <v>Dimension Talento Humano
Politica de Integridad</v>
      </c>
      <c r="F5" s="131" t="str">
        <f>+VLOOKUP(A5,'Ambiente de Control'!$B$21:$K$235,10,0)</f>
        <v>Mantenimiento del control</v>
      </c>
      <c r="G5" s="131">
        <f>+VLOOKUP(A5,'Ambiente de Control'!$B$21:$O$235,13,0)</f>
        <v>60.06691</v>
      </c>
      <c r="H5" s="133">
        <f t="shared" si="3"/>
        <v>7</v>
      </c>
      <c r="I5" s="131" t="str">
        <f t="shared" si="0"/>
        <v>Cuando en el análisis de los requerimientos en los diferenes componentes del MECI se cuente con aspectos evaluados en nivel 1 (presente) y 1 (funcionando); 2 (presente) y 1 (funcionando).</v>
      </c>
      <c r="J5" s="131" t="s">
        <v>339</v>
      </c>
      <c r="K5" s="131">
        <f>+IF(ISBLANK(VLOOKUP(A5,'Ambiente de Control'!$B$24:$F$235,5,0)),"",VLOOKUP(A5,'Ambiente de Control'!$B$24:$F$235,5,0))</f>
        <v>3</v>
      </c>
      <c r="L5" s="131">
        <f>+IF(ISBLANK(VLOOKUP(A5,'Ambiente de Control'!$B$24:$K$235,9,0)),"",VLOOKUP(A5,'Ambiente de Control'!$B$24:$K$235,9,0))</f>
        <v>3</v>
      </c>
      <c r="M5" s="131">
        <f t="shared" si="5"/>
        <v>1</v>
      </c>
      <c r="N5" s="131">
        <f t="shared" si="4"/>
        <v>0.91666666666666663</v>
      </c>
      <c r="O5" s="131"/>
      <c r="P5" s="131"/>
    </row>
    <row r="6" spans="1:19" x14ac:dyDescent="0.2">
      <c r="A6" s="131" t="s">
        <v>347</v>
      </c>
      <c r="B6" s="131" t="str">
        <f t="shared" si="2"/>
        <v>1</v>
      </c>
      <c r="C6" s="131" t="str">
        <f>+MID(VLOOKUP(A6,'Ambiente de Control'!$B$21:$C$235,2,0),4,LEN(VLOOKUP(A6,'Ambiente de Control'!$B$21:$C$235,2,0))-4)</f>
        <v xml:space="preserve">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v>
      </c>
      <c r="D6" s="131" t="s">
        <v>338</v>
      </c>
      <c r="E6" s="131" t="str">
        <f>+VLOOKUP(A6,'Ambiente de Control'!$B$21:$D$235,3,0)</f>
        <v>Dimensión Direccionamiento Estratégico y Planeación
Plan Anticorrupción y de Atención al Ciudadano</v>
      </c>
      <c r="F6" s="131" t="str">
        <f>+VLOOKUP(A6,'Ambiente de Control'!$B$21:$K$235,10,0)</f>
        <v>Mantenimiento del control</v>
      </c>
      <c r="G6" s="131">
        <f>+VLOOKUP(A6,'Ambiente de Control'!$B$21:$O$235,13,0)</f>
        <v>60.073568999999999</v>
      </c>
      <c r="H6" s="133">
        <f t="shared" si="3"/>
        <v>8</v>
      </c>
      <c r="I6" s="131" t="str">
        <f t="shared" si="0"/>
        <v>Cuando en el análisis de los requerimientos en los diferenes componentes del MECI se cuente con aspectos evaluados en nivel 1 (presente) y 1 (funcionando); 2 (presente) y 1 (funcionando).</v>
      </c>
      <c r="J6" s="131" t="s">
        <v>339</v>
      </c>
      <c r="K6" s="131">
        <f>+IF(ISBLANK(VLOOKUP(A6,'Ambiente de Control'!$B$24:$F$235,5,0)),"",VLOOKUP(A6,'Ambiente de Control'!$B$24:$F$235,5,0))</f>
        <v>3</v>
      </c>
      <c r="L6" s="131">
        <f>+IF(ISBLANK(VLOOKUP(A6,'Ambiente de Control'!$B$24:$K$235,9,0)),"",VLOOKUP(A6,'Ambiente de Control'!$B$24:$K$235,9,0))</f>
        <v>3</v>
      </c>
      <c r="M6" s="131">
        <f t="shared" si="5"/>
        <v>1</v>
      </c>
      <c r="N6" s="131">
        <f t="shared" si="4"/>
        <v>0.91666666666666663</v>
      </c>
      <c r="O6" s="131"/>
      <c r="P6" s="131"/>
    </row>
    <row r="7" spans="1:19" x14ac:dyDescent="0.2">
      <c r="A7" s="131" t="s">
        <v>348</v>
      </c>
      <c r="B7" s="131" t="str">
        <f t="shared" si="2"/>
        <v>2</v>
      </c>
      <c r="C7" s="131" t="str">
        <f>+MID(VLOOKUP(A7,'Ambiente de Control'!$B$21:$C$235,2,0),4,LEN(VLOOKUP(A7,'Ambiente de Control'!$B$21:$C$235,2,0))-4)</f>
        <v xml:space="preserve"> Creación o actualización del Comité Institucional de Coordinación de Control Interno (incluye ajustes en periodicidad para reunión, articulación con el Comité Institucioanl de Gestión y Desempeño)</v>
      </c>
      <c r="D7" s="131" t="s">
        <v>338</v>
      </c>
      <c r="E7" s="131" t="str">
        <f>+VLOOKUP(A7,'Ambiente de Control'!$B$21:$D$235,3,0)</f>
        <v>Dimension Control Interno
Politica de Control Interno</v>
      </c>
      <c r="F7" s="131" t="str">
        <f>+VLOOKUP(A7,'Ambiente de Control'!$B$21:$K$235,10,0)</f>
        <v>Mantenimiento del control</v>
      </c>
      <c r="G7" s="131">
        <f>+VLOOKUP(A7,'Ambiente de Control'!$B$21:$O$235,13,0)</f>
        <v>60.088965299999998</v>
      </c>
      <c r="H7" s="133">
        <f t="shared" si="3"/>
        <v>9</v>
      </c>
      <c r="I7" s="131" t="str">
        <f t="shared" si="0"/>
        <v>Cuando en el análisis de los requerimientos en los diferenes componentes del MECI se cuente con aspectos evaluados en nivel 1 (presente) y 1 (funcionando); 2 (presente) y 1 (funcionando).</v>
      </c>
      <c r="J7" s="131" t="s">
        <v>349</v>
      </c>
      <c r="K7" s="131">
        <f>+IF(ISBLANK(VLOOKUP(A7,'Ambiente de Control'!$B$24:$F$235,5,0)),"",VLOOKUP(A7,'Ambiente de Control'!$B$24:$F$235,5,0))</f>
        <v>3</v>
      </c>
      <c r="L7" s="131">
        <f>+IF(ISBLANK(VLOOKUP(A7,'Ambiente de Control'!$B$24:$K$235,9,0)),"",VLOOKUP(A7,'Ambiente de Control'!$B$24:$K$235,9,0))</f>
        <v>3</v>
      </c>
      <c r="M7" s="131">
        <f t="shared" si="5"/>
        <v>1</v>
      </c>
      <c r="N7" s="131">
        <f t="shared" si="4"/>
        <v>0.91666666666666663</v>
      </c>
      <c r="O7" s="131"/>
      <c r="P7" s="131"/>
    </row>
    <row r="8" spans="1:19" x14ac:dyDescent="0.2">
      <c r="A8" s="131" t="s">
        <v>350</v>
      </c>
      <c r="B8" s="131" t="str">
        <f t="shared" si="2"/>
        <v>2</v>
      </c>
      <c r="C8" s="131" t="str">
        <f>+MID(VLOOKUP(A8,'Ambiente de Control'!$B$21:$C$235,2,0),4,LEN(VLOOKUP(A8,'Ambiente de Control'!$B$21:$C$235,2,0))-4)</f>
        <v xml:space="preserve"> Definición y documentación del Esquema de Líneas de Defens</v>
      </c>
      <c r="D8" s="131" t="s">
        <v>338</v>
      </c>
      <c r="E8" s="131" t="str">
        <f>+VLOOKUP(A8,'Ambiente de Control'!$B$21:$D$235,3,0)</f>
        <v>Dimension Control Interno
Politica de Control Interno
Lineas de defensa</v>
      </c>
      <c r="F8" s="131" t="str">
        <f>+VLOOKUP(A8,'Ambiente de Control'!$B$21:$K$235,10,0)</f>
        <v>Mantenimiento del control</v>
      </c>
      <c r="G8" s="131">
        <f>+VLOOKUP(A8,'Ambiente de Control'!$B$21:$O$235,13,0)</f>
        <v>60.098965300000003</v>
      </c>
      <c r="H8" s="133">
        <f t="shared" si="3"/>
        <v>10</v>
      </c>
      <c r="I8" s="131" t="str">
        <f t="shared" si="0"/>
        <v>Cuando en el análisis de los requerimientos en los diferenes componentes del MECI se cuente con aspectos evaluados en nivel 1 (presente) y 1 (funcionando); 2 (presente) y 1 (funcionando).</v>
      </c>
      <c r="J8" s="131" t="s">
        <v>349</v>
      </c>
      <c r="K8" s="131">
        <f>+IF(ISBLANK(VLOOKUP(A8,'Ambiente de Control'!$B$24:$F$235,5,0)),"",VLOOKUP(A8,'Ambiente de Control'!$B$24:$F$235,5,0))</f>
        <v>3</v>
      </c>
      <c r="L8" s="131">
        <f>+IF(ISBLANK(VLOOKUP(A8,'Ambiente de Control'!$B$24:$K$235,9,0)),"",VLOOKUP(A8,'Ambiente de Control'!$B$24:$K$235,9,0))</f>
        <v>3</v>
      </c>
      <c r="M8" s="131">
        <f t="shared" si="5"/>
        <v>1</v>
      </c>
      <c r="N8" s="131">
        <f t="shared" si="4"/>
        <v>0.91666666666666663</v>
      </c>
      <c r="O8" s="131"/>
      <c r="P8" s="131"/>
    </row>
    <row r="9" spans="1:19" x14ac:dyDescent="0.2">
      <c r="A9" s="131" t="s">
        <v>351</v>
      </c>
      <c r="B9" s="131" t="str">
        <f t="shared" si="2"/>
        <v>2</v>
      </c>
      <c r="C9" s="131" t="str">
        <f>+MID(VLOOKUP(A9,'Ambiente de Control'!$B$21:$C$235,2,0),4,LEN(VLOOKUP(A9,'Ambiente de Control'!$B$21:$C$235,2,0))-4)</f>
        <v xml:space="preserve"> Definición de líneas de reporte en temas clave para la toma de decisiones, atendiendo el Esquema de Líneas de Defens</v>
      </c>
      <c r="D9" s="131" t="s">
        <v>338</v>
      </c>
      <c r="E9" s="131" t="str">
        <f>+VLOOKUP(A9,'Ambiente de Control'!$B$21:$D$235,3,0)</f>
        <v>Dimension Control Interno
Politica de Control Interno
Linea de Defensa
Dimension de Informaciòn y Comunicaciòn</v>
      </c>
      <c r="F9" s="131" t="str">
        <f>+VLOOKUP(A9,'Ambiente de Control'!$B$21:$K$235,10,0)</f>
        <v>Mantenimiento del control</v>
      </c>
      <c r="G9" s="131">
        <f>+VLOOKUP(A9,'Ambiente de Control'!$B$21:$O$235,13,0)</f>
        <v>60.156979999999997</v>
      </c>
      <c r="H9" s="133">
        <f t="shared" si="3"/>
        <v>11</v>
      </c>
      <c r="I9" s="131" t="str">
        <f t="shared" si="0"/>
        <v>Cuando en el análisis de los requerimientos en los diferenes componentes del MECI se cuente con aspectos evaluados en nivel 1 (presente) y 1 (funcionando); 2 (presente) y 1 (funcionando).</v>
      </c>
      <c r="J9" s="131" t="s">
        <v>349</v>
      </c>
      <c r="K9" s="131">
        <f>+IF(ISBLANK(VLOOKUP(A9,'Ambiente de Control'!$B$24:$F$235,5,0)),"",VLOOKUP(A9,'Ambiente de Control'!$B$24:$F$235,5,0))</f>
        <v>3</v>
      </c>
      <c r="L9" s="131">
        <f>+IF(ISBLANK(VLOOKUP(A9,'Ambiente de Control'!$B$24:$K$235,9,0)),"",VLOOKUP(A9,'Ambiente de Control'!$B$24:$K$235,9,0))</f>
        <v>3</v>
      </c>
      <c r="M9" s="131">
        <f t="shared" si="5"/>
        <v>1</v>
      </c>
      <c r="N9" s="131">
        <f t="shared" si="4"/>
        <v>0.91666666666666663</v>
      </c>
      <c r="O9" s="131"/>
      <c r="P9" s="131"/>
    </row>
    <row r="10" spans="1:19" x14ac:dyDescent="0.2">
      <c r="A10" s="131" t="s">
        <v>352</v>
      </c>
      <c r="B10" s="131" t="str">
        <f t="shared" si="2"/>
        <v>3</v>
      </c>
      <c r="C10" s="131" t="str">
        <f>+MID(VLOOKUP(A10,'Ambiente de Control'!$B$21:$C$235,2,0),4,LEN(VLOOKUP(A10,'Ambiente de Control'!$B$21:$C$235,2,0))-4)</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v>
      </c>
      <c r="D10" s="131" t="s">
        <v>338</v>
      </c>
      <c r="E10" s="131" t="str">
        <f>+VLOOKUP(A10,'Ambiente de Control'!$B$21:$D$235,3,0)</f>
        <v>Dimension de Direccionamiento Estrategico y Planeaciòn
Politica de Planeaciòn Institucional 
Dimension Control Interno</v>
      </c>
      <c r="F10" s="131" t="str">
        <f>+VLOOKUP(A10,'Ambiente de Control'!$B$21:$K$235,10,0)</f>
        <v>Mantenimiento del control</v>
      </c>
      <c r="G10" s="131">
        <f>+VLOOKUP(A10,'Ambiente de Control'!$B$21:$O$235,13,0)</f>
        <v>60.289650000000002</v>
      </c>
      <c r="H10" s="133">
        <f t="shared" si="3"/>
        <v>12</v>
      </c>
      <c r="I10" s="131" t="str">
        <f t="shared" si="0"/>
        <v>Cuando en el análisis de los requerimientos en los diferenes componentes del MECI se cuente con aspectos evaluados en nivel 1 (presente) y 1 (funcionando); 2 (presente) y 1 (funcionando).</v>
      </c>
      <c r="J10" s="131" t="s">
        <v>353</v>
      </c>
      <c r="K10" s="131">
        <f>+IF(ISBLANK(VLOOKUP(A10,'Ambiente de Control'!$B$24:$F$235,5,0)),"",VLOOKUP(A10,'Ambiente de Control'!$B$24:$F$235,5,0))</f>
        <v>3</v>
      </c>
      <c r="L10" s="131">
        <f>+IF(ISBLANK(VLOOKUP(A10,'Ambiente de Control'!$B$24:$K$235,9,0)),"",VLOOKUP(A10,'Ambiente de Control'!$B$24:$K$235,9,0))</f>
        <v>3</v>
      </c>
      <c r="M10" s="131">
        <f t="shared" si="5"/>
        <v>1</v>
      </c>
      <c r="N10" s="131">
        <f t="shared" si="4"/>
        <v>0.91666666666666663</v>
      </c>
      <c r="O10" s="131"/>
      <c r="P10" s="131"/>
    </row>
    <row r="11" spans="1:19" x14ac:dyDescent="0.2">
      <c r="A11" s="131" t="s">
        <v>354</v>
      </c>
      <c r="B11" s="131" t="str">
        <f t="shared" si="2"/>
        <v>3</v>
      </c>
      <c r="C11" s="131" t="str">
        <f>+MID(VLOOKUP(A11,'Ambiente de Control'!$B$21:$C$235,2,0),4,LEN(VLOOKUP(A11,'Ambiente de Control'!$B$21:$C$235,2,0))-4)</f>
        <v xml:space="preserve"> Evaluación de la planeación estratégica, considerando alertas frente a posibles incumplimientos, necesidades de recursos, cambios en el entorno que puedan afectar su desarrollo, entre otros aspectos que garanticen de forma razonable su cumplimiento</v>
      </c>
      <c r="D11" s="131" t="s">
        <v>338</v>
      </c>
      <c r="E11" s="131" t="str">
        <f>+VLOOKUP(A11,'Ambiente de Control'!$B$21:$D$235,3,0)</f>
        <v>Diimensiòn Evaluacion de Resultados 
Politica de Seguimiento y Evaluaciòn al Desemepeño Institucional
Dimension Control Interno
Lineas de defensa</v>
      </c>
      <c r="F11" s="131" t="str">
        <f>+VLOOKUP(A11,'Ambiente de Control'!$B$21:$K$235,10,0)</f>
        <v>Mantenimiento del control</v>
      </c>
      <c r="G11" s="131">
        <f>+VLOOKUP(A11,'Ambiente de Control'!$B$21:$O$235,13,0)</f>
        <v>60.489649999999997</v>
      </c>
      <c r="H11" s="133">
        <f t="shared" si="3"/>
        <v>14</v>
      </c>
      <c r="I11" s="131" t="str">
        <f t="shared" si="0"/>
        <v>Cuando en el análisis de los requerimientos en los diferenes componentes del MECI se cuente con aspectos evaluados en nivel 1 (presente) y 1 (funcionando); 2 (presente) y 1 (funcionando).</v>
      </c>
      <c r="J11" s="131" t="s">
        <v>353</v>
      </c>
      <c r="K11" s="131">
        <f>+IF(ISBLANK(VLOOKUP(A11,'Ambiente de Control'!$B$24:$F$235,5,0)),"",VLOOKUP(A11,'Ambiente de Control'!$B$24:$F$235,5,0))</f>
        <v>3</v>
      </c>
      <c r="L11" s="131">
        <f>+IF(ISBLANK(VLOOKUP(A11,'Ambiente de Control'!$B$24:$K$235,9,0)),"",VLOOKUP(A11,'Ambiente de Control'!$B$24:$K$235,9,0))</f>
        <v>3</v>
      </c>
      <c r="M11" s="131">
        <f t="shared" si="5"/>
        <v>1</v>
      </c>
      <c r="N11" s="131">
        <f t="shared" si="4"/>
        <v>0.91666666666666663</v>
      </c>
      <c r="O11" s="131"/>
      <c r="P11" s="131"/>
    </row>
    <row r="12" spans="1:19" x14ac:dyDescent="0.2">
      <c r="A12" s="131" t="s">
        <v>355</v>
      </c>
      <c r="B12" s="131" t="str">
        <f t="shared" si="2"/>
        <v>3</v>
      </c>
      <c r="C12" s="131" t="str">
        <f>+MID(VLOOKUP(A12,'Ambiente de Control'!$B$21:$C$235,2,0),4,LEN(VLOOKUP(A12,'Ambiente de Control'!$B$21:$C$235,2,0))-4)</f>
        <v xml:space="preserve"> La Alta Dirección frente a la política de Administración del Riesgo definen los niveles de aceptación del riesgo, teniendo en cuenta cada uno de los objetivos establecidos.</v>
      </c>
      <c r="D12" s="131" t="s">
        <v>338</v>
      </c>
      <c r="E12" s="131" t="str">
        <f>+VLOOKUP(A12,'Ambiente de Control'!$B$21:$D$235,3,0)</f>
        <v>Dimension Control Interno
Politica de Control Interno
Linea Estrategica</v>
      </c>
      <c r="F12" s="131" t="str">
        <f>+VLOOKUP(A12,'Ambiente de Control'!$B$21:$K$235,10,0)</f>
        <v>Mantenimiento del control</v>
      </c>
      <c r="G12" s="131">
        <f>+VLOOKUP(A12,'Ambiente de Control'!$B$21:$O$235,13,0)</f>
        <v>60.389653000000003</v>
      </c>
      <c r="H12" s="133">
        <f t="shared" si="3"/>
        <v>13</v>
      </c>
      <c r="I12" s="131" t="str">
        <f t="shared" si="0"/>
        <v>Cuando en el análisis de los requerimientos en los diferenes componentes del MECI se cuente con aspectos evaluados en nivel 1 (presente) y 1 (funcionando); 2 (presente) y 1 (funcionando).</v>
      </c>
      <c r="J12" s="131" t="s">
        <v>353</v>
      </c>
      <c r="K12" s="131">
        <f>+IF(ISBLANK(VLOOKUP(A12,'Ambiente de Control'!$B$24:$F$235,5,0)),"",VLOOKUP(A12,'Ambiente de Control'!$B$24:$F$235,5,0))</f>
        <v>3</v>
      </c>
      <c r="L12" s="131">
        <f>+IF(ISBLANK(VLOOKUP(A12,'Ambiente de Control'!$B$24:$K$235,9,0)),"",VLOOKUP(A12,'Ambiente de Control'!$B$24:$K$235,9,0))</f>
        <v>3</v>
      </c>
      <c r="M12" s="131">
        <f t="shared" si="5"/>
        <v>1</v>
      </c>
      <c r="N12" s="131">
        <f t="shared" si="4"/>
        <v>0.91666666666666663</v>
      </c>
      <c r="O12" s="131"/>
      <c r="P12" s="131"/>
    </row>
    <row r="13" spans="1:19" x14ac:dyDescent="0.2">
      <c r="A13" s="131" t="s">
        <v>356</v>
      </c>
      <c r="B13" s="131" t="str">
        <f t="shared" si="2"/>
        <v>4</v>
      </c>
      <c r="C13" s="131" t="str">
        <f>+MID(VLOOKUP(A13,'Ambiente de Control'!$B$21:$C$235,2,0),4,LEN(VLOOKUP(A13,'Ambiente de Control'!$B$21:$C$235,2,0))-4)</f>
        <v xml:space="preserve"> Evaluación de la Planeación Estratégica del Talento Humano</v>
      </c>
      <c r="D13" s="131" t="s">
        <v>338</v>
      </c>
      <c r="E13" s="131" t="str">
        <f>+VLOOKUP(A13,'Ambiente de Control'!$B$21:$D$235,3,0)</f>
        <v>Dimension de Talento Humano
Politica Gestion Estrategica del Talento Humano
Dimension de Control Interno
Lineas de Defensa</v>
      </c>
      <c r="F13" s="131" t="str">
        <f>+VLOOKUP(A13,'Ambiente de Control'!$B$21:$K$235,10,0)</f>
        <v>Deficiencia de control (diseño o ejecución)</v>
      </c>
      <c r="G13" s="131">
        <f>+VLOOKUP(A13,'Ambiente de Control'!$B$21:$O$235,13,0)</f>
        <v>20.589649999999999</v>
      </c>
      <c r="H13" s="133">
        <f t="shared" si="3"/>
        <v>2</v>
      </c>
      <c r="I13" s="131" t="str">
        <f t="shared" si="0"/>
        <v>Cuando en el análisis de los requerimientos en los diferenes componentes del MECI se cuente con aspectos evaluados en nivel 2 (presente) y 2 (funcionando); 3 (presente) y 1 (funcionando); 3 (presente) y 2 (funcionando).</v>
      </c>
      <c r="J13" s="131" t="s">
        <v>357</v>
      </c>
      <c r="K13" s="131">
        <f>+IF(ISBLANK(VLOOKUP(A13,'Ambiente de Control'!$B$24:$F$235,5,0)),"",VLOOKUP(A13,'Ambiente de Control'!$B$24:$F$235,5,0))</f>
        <v>3</v>
      </c>
      <c r="L13" s="131">
        <f>+IF(ISBLANK(VLOOKUP(A13,'Ambiente de Control'!$B$24:$K$235,9,0)),"",VLOOKUP(A13,'Ambiente de Control'!$B$24:$K$235,9,0))</f>
        <v>2</v>
      </c>
      <c r="M13" s="131">
        <f t="shared" si="5"/>
        <v>0.5</v>
      </c>
      <c r="N13" s="131">
        <f t="shared" si="4"/>
        <v>0.91666666666666663</v>
      </c>
      <c r="O13" s="131"/>
      <c r="P13" s="131"/>
    </row>
    <row r="14" spans="1:19" x14ac:dyDescent="0.2">
      <c r="A14" s="131" t="s">
        <v>358</v>
      </c>
      <c r="B14" s="131" t="str">
        <f t="shared" si="2"/>
        <v>4</v>
      </c>
      <c r="C14" s="131" t="str">
        <f>+MID(VLOOKUP(A14,'Ambiente de Control'!$B$21:$C$235,2,0),4,LEN(VLOOKUP(A14,'Ambiente de Control'!$B$21:$C$235,2,0))-4)</f>
        <v xml:space="preserve"> Evaluación de las actividades relacionadas con el Ingreso del personal</v>
      </c>
      <c r="D14" s="131" t="s">
        <v>338</v>
      </c>
      <c r="E14" s="131" t="str">
        <f>+VLOOKUP(A14,'Ambiente de Control'!$B$21:$D$235,3,0)</f>
        <v>Dimension de Talento Humano
Politica Gestion Estrategica del Talento Humano
Dimension de Control Interno
Lineas de Defensa</v>
      </c>
      <c r="F14" s="131" t="str">
        <f>+VLOOKUP(A14,'Ambiente de Control'!$B$21:$K$235,10,0)</f>
        <v>Mantenimiento del control</v>
      </c>
      <c r="G14" s="131">
        <f>+VLOOKUP(A14,'Ambiente de Control'!$B$21:$O$235,13,0)</f>
        <v>60.68965</v>
      </c>
      <c r="H14" s="133">
        <f t="shared" si="3"/>
        <v>15</v>
      </c>
      <c r="I14" s="131" t="str">
        <f t="shared" si="0"/>
        <v>Cuando en el análisis de los requerimientos en los diferenes componentes del MECI se cuente con aspectos evaluados en nivel 1 (presente) y 1 (funcionando); 2 (presente) y 1 (funcionando).</v>
      </c>
      <c r="J14" s="131" t="s">
        <v>357</v>
      </c>
      <c r="K14" s="131">
        <f>+IF(ISBLANK(VLOOKUP(A14,'Ambiente de Control'!$B$24:$F$235,5,0)),"",VLOOKUP(A14,'Ambiente de Control'!$B$24:$F$235,5,0))</f>
        <v>3</v>
      </c>
      <c r="L14" s="131">
        <f>+IF(ISBLANK(VLOOKUP(A14,'Ambiente de Control'!$B$24:$K$235,9,0)),"",VLOOKUP(A14,'Ambiente de Control'!$B$24:$K$235,9,0))</f>
        <v>3</v>
      </c>
      <c r="M14" s="131">
        <f t="shared" si="5"/>
        <v>1</v>
      </c>
      <c r="N14" s="131">
        <f t="shared" si="4"/>
        <v>0.91666666666666663</v>
      </c>
      <c r="O14" s="131"/>
      <c r="P14" s="131"/>
    </row>
    <row r="15" spans="1:19" x14ac:dyDescent="0.2">
      <c r="A15" s="131" t="s">
        <v>359</v>
      </c>
      <c r="B15" s="131" t="str">
        <f t="shared" si="2"/>
        <v>4</v>
      </c>
      <c r="C15" s="131" t="str">
        <f>+MID(VLOOKUP(A15,'Ambiente de Control'!$B$21:$C$235,2,0),4,LEN(VLOOKUP(A15,'Ambiente de Control'!$B$21:$C$235,2,0))-4)</f>
        <v xml:space="preserve"> Evaluación de las actividades relacionadas con la permanencia del personal</v>
      </c>
      <c r="D15" s="131" t="s">
        <v>338</v>
      </c>
      <c r="E15" s="131" t="str">
        <f>+VLOOKUP(A15,'Ambiente de Control'!$B$21:$D$235,3,0)</f>
        <v>Dimension de Talento Humano
Politica Gestion Estrategica del Talento Humano
Dimension de Control Interno
Lineas de Defensa</v>
      </c>
      <c r="F15" s="131" t="str">
        <f>+VLOOKUP(A15,'Ambiente de Control'!$B$21:$K$235,10,0)</f>
        <v>Deficiencia de control (diseño o ejecución)</v>
      </c>
      <c r="G15" s="131">
        <f>+VLOOKUP(A15,'Ambiente de Control'!$B$21:$O$235,13,0)</f>
        <v>20.789650000000002</v>
      </c>
      <c r="H15" s="133">
        <f t="shared" si="3"/>
        <v>3</v>
      </c>
      <c r="I15" s="131" t="str">
        <f t="shared" si="0"/>
        <v>Cuando en el análisis de los requerimientos en los diferenes componentes del MECI se cuente con aspectos evaluados en nivel 2 (presente) y 2 (funcionando); 3 (presente) y 1 (funcionando); 3 (presente) y 2 (funcionando).</v>
      </c>
      <c r="J15" s="131" t="s">
        <v>357</v>
      </c>
      <c r="K15" s="131">
        <f>+IF(ISBLANK(VLOOKUP(A15,'Ambiente de Control'!$B$24:$F$235,5,0)),"",VLOOKUP(A15,'Ambiente de Control'!$B$24:$F$235,5,0))</f>
        <v>3</v>
      </c>
      <c r="L15" s="131">
        <f>+IF(ISBLANK(VLOOKUP(A15,'Ambiente de Control'!$B$24:$K$235,9,0)),"",VLOOKUP(A15,'Ambiente de Control'!$B$24:$K$235,9,0))</f>
        <v>2</v>
      </c>
      <c r="M15" s="131">
        <f t="shared" si="5"/>
        <v>0.5</v>
      </c>
      <c r="N15" s="131">
        <f t="shared" si="4"/>
        <v>0.91666666666666663</v>
      </c>
      <c r="O15" s="131"/>
      <c r="P15" s="131"/>
    </row>
    <row r="16" spans="1:19" x14ac:dyDescent="0.2">
      <c r="A16" s="131" t="s">
        <v>360</v>
      </c>
      <c r="B16" s="131" t="str">
        <f t="shared" si="2"/>
        <v>4</v>
      </c>
      <c r="C16" s="131" t="str">
        <f>+MID(VLOOKUP(A16,'Ambiente de Control'!$B$21:$C$235,2,0),4,LEN(VLOOKUP(A16,'Ambiente de Control'!$B$21:$C$235,2,0))-4)</f>
        <v>Analizar si se cuenta con políticas claras y comunicadas relacionadas con la responsabilidad de cada servidor sobre el desarrollo y mantenimiento del control interno (1a línea de defensa</v>
      </c>
      <c r="D16" s="131" t="s">
        <v>338</v>
      </c>
      <c r="E16" s="131" t="str">
        <f>+VLOOKUP(A16,'Ambiente de Control'!$B$21:$D$235,3,0)</f>
        <v>Dimension de Talento Humano
Politica Gestion Estrategica del Talento Humano
Dimension de Control Interno
Lineas de Defensa</v>
      </c>
      <c r="F16" s="131" t="str">
        <f>+VLOOKUP(A16,'Ambiente de Control'!$B$21:$K$235,10,0)</f>
        <v>Mantenimiento del control</v>
      </c>
      <c r="G16" s="131">
        <f>+VLOOKUP(A16,'Ambiente de Control'!$B$21:$O$235,13,0)</f>
        <v>60.889650000000003</v>
      </c>
      <c r="H16" s="133">
        <f t="shared" si="3"/>
        <v>16</v>
      </c>
      <c r="I16" s="131" t="str">
        <f t="shared" si="0"/>
        <v>Cuando en el análisis de los requerimientos en los diferenes componentes del MECI se cuente con aspectos evaluados en nivel 1 (presente) y 1 (funcionando); 2 (presente) y 1 (funcionando).</v>
      </c>
      <c r="J16" s="131" t="s">
        <v>357</v>
      </c>
      <c r="K16" s="131">
        <f>+IF(ISBLANK(VLOOKUP(A16,'Ambiente de Control'!$B$24:$F$235,5,0)),"",VLOOKUP(A16,'Ambiente de Control'!$B$24:$F$235,5,0))</f>
        <v>3</v>
      </c>
      <c r="L16" s="131">
        <f>+IF(ISBLANK(VLOOKUP(A16,'Ambiente de Control'!$B$24:$K$235,9,0)),"",VLOOKUP(A16,'Ambiente de Control'!$B$24:$K$235,9,0))</f>
        <v>3</v>
      </c>
      <c r="M16" s="131">
        <f t="shared" si="5"/>
        <v>1</v>
      </c>
      <c r="N16" s="131">
        <f t="shared" si="4"/>
        <v>0.91666666666666663</v>
      </c>
      <c r="O16" s="131"/>
      <c r="P16" s="131"/>
    </row>
    <row r="17" spans="1:16" x14ac:dyDescent="0.2">
      <c r="A17" s="131" t="s">
        <v>361</v>
      </c>
      <c r="B17" s="131" t="str">
        <f t="shared" si="2"/>
        <v>4</v>
      </c>
      <c r="C17" s="131" t="str">
        <f>+MID(VLOOKUP(A17,'Ambiente de Control'!$B$21:$C$235,2,0),4,LEN(VLOOKUP(A17,'Ambiente de Control'!$B$21:$C$235,2,0))-4)</f>
        <v xml:space="preserve"> Evaluación de las actividades relacionadas con el retiro del personal</v>
      </c>
      <c r="D17" s="131" t="s">
        <v>338</v>
      </c>
      <c r="E17" s="131" t="str">
        <f>+VLOOKUP(A17,'Ambiente de Control'!$B$21:$D$235,3,0)</f>
        <v>Dimension de Talento Humano
Politica Gestion Estrategica del Talento Humano
Dimension de Control Interno
Lineas de Defensa</v>
      </c>
      <c r="F17" s="131" t="str">
        <f>+VLOOKUP(A17,'Ambiente de Control'!$B$21:$K$235,10,0)</f>
        <v>Mantenimiento del control</v>
      </c>
      <c r="G17" s="131">
        <f>+VLOOKUP(A17,'Ambiente de Control'!$B$21:$O$235,13,0)</f>
        <v>60.989649999999997</v>
      </c>
      <c r="H17" s="133">
        <f t="shared" si="3"/>
        <v>17</v>
      </c>
      <c r="I17" s="131" t="str">
        <f t="shared" si="0"/>
        <v>Cuando en el análisis de los requerimientos en los diferenes componentes del MECI se cuente con aspectos evaluados en nivel 1 (presente) y 1 (funcionando); 2 (presente) y 1 (funcionando).</v>
      </c>
      <c r="J17" s="131" t="s">
        <v>357</v>
      </c>
      <c r="K17" s="131">
        <f>+IF(ISBLANK(VLOOKUP(A17,'Ambiente de Control'!$B$24:$F$235,5,0)),"",VLOOKUP(A17,'Ambiente de Control'!$B$24:$F$235,5,0))</f>
        <v>3</v>
      </c>
      <c r="L17" s="131">
        <f>+IF(ISBLANK(VLOOKUP(A17,'Ambiente de Control'!$B$24:$K$235,9,0)),"",VLOOKUP(A17,'Ambiente de Control'!$B$24:$K$235,9,0))</f>
        <v>3</v>
      </c>
      <c r="M17" s="131">
        <f t="shared" si="5"/>
        <v>1</v>
      </c>
      <c r="N17" s="131">
        <f t="shared" si="4"/>
        <v>0.91666666666666663</v>
      </c>
      <c r="O17" s="131"/>
      <c r="P17" s="131"/>
    </row>
    <row r="18" spans="1:16" x14ac:dyDescent="0.2">
      <c r="A18" s="131" t="s">
        <v>362</v>
      </c>
      <c r="B18" s="131" t="str">
        <f t="shared" si="2"/>
        <v>4</v>
      </c>
      <c r="C18" s="131" t="str">
        <f>+MID(VLOOKUP(A18,'Ambiente de Control'!$B$21:$C$235,2,0),4,LEN(VLOOKUP(A18,'Ambiente de Control'!$B$21:$C$235,2,0))-4)</f>
        <v xml:space="preserve"> Evaluar el impacto del Plan Institucional de Capacitación - PI</v>
      </c>
      <c r="D18" s="131" t="s">
        <v>338</v>
      </c>
      <c r="E18" s="131" t="str">
        <f>+VLOOKUP(A18,'Ambiente de Control'!$B$21:$D$235,3,0)</f>
        <v>Dimension de Talento Humano
Politica Gestion Estrategica del Talento Humano
Dimension de Control Interno
Lineas de Defensa</v>
      </c>
      <c r="F18" s="131" t="str">
        <f>+VLOOKUP(A18,'Ambiente de Control'!$B$21:$K$235,10,0)</f>
        <v>Deficiencia de control (diseño o ejecución)</v>
      </c>
      <c r="G18" s="131">
        <f>+VLOOKUP(A18,'Ambiente de Control'!$B$21:$O$235,13,0)</f>
        <v>20.989652</v>
      </c>
      <c r="H18" s="133">
        <f t="shared" si="3"/>
        <v>4</v>
      </c>
      <c r="I18" s="131" t="str">
        <f t="shared" si="0"/>
        <v>Cuando en el análisis de los requerimientos en los diferenes componentes del MECI se cuente con aspectos evaluados en nivel 2 (presente) y 2 (funcionando); 3 (presente) y 1 (funcionando); 3 (presente) y 2 (funcionando).</v>
      </c>
      <c r="J18" s="131" t="s">
        <v>357</v>
      </c>
      <c r="K18" s="131">
        <f>+IF(ISBLANK(VLOOKUP(A18,'Ambiente de Control'!$B$24:$F$235,5,0)),"",VLOOKUP(A18,'Ambiente de Control'!$B$24:$F$235,5,0))</f>
        <v>3</v>
      </c>
      <c r="L18" s="131">
        <f>+IF(ISBLANK(VLOOKUP(A18,'Ambiente de Control'!$B$24:$K$235,9,0)),"",VLOOKUP(A18,'Ambiente de Control'!$B$24:$K$235,9,0))</f>
        <v>2</v>
      </c>
      <c r="M18" s="131">
        <f t="shared" si="5"/>
        <v>0.5</v>
      </c>
      <c r="N18" s="131">
        <f t="shared" si="4"/>
        <v>0.91666666666666663</v>
      </c>
      <c r="O18" s="131"/>
      <c r="P18" s="131"/>
    </row>
    <row r="19" spans="1:16" x14ac:dyDescent="0.2">
      <c r="A19" s="131" t="s">
        <v>363</v>
      </c>
      <c r="B19" s="131" t="str">
        <f t="shared" si="2"/>
        <v>4</v>
      </c>
      <c r="C19" s="131" t="str">
        <f>+MID(VLOOKUP(A19,'Ambiente de Control'!$B$21:$C$235,2,0),4,LEN(VLOOKUP(A19,'Ambiente de Control'!$B$21:$C$235,2,0))-4)</f>
        <v xml:space="preserve"> Evaluación frente a los productos y servicios en los cuales participan los contratistas de apoyo</v>
      </c>
      <c r="D19" s="131" t="s">
        <v>338</v>
      </c>
      <c r="E19" s="131" t="str">
        <f>+VLOOKUP(A19,'Ambiente de Control'!$B$21:$D$235,3,0)</f>
        <v>Dimension de Talento Humano
Politica Gestion Estrategica del Talento Humano
Dimension de Control Interno
Lineas de Defensa</v>
      </c>
      <c r="F19" s="131" t="str">
        <f>+VLOOKUP(A19,'Ambiente de Control'!$B$21:$K$235,10,0)</f>
        <v>Mantenimiento del control</v>
      </c>
      <c r="G19" s="131">
        <f>+VLOOKUP(A19,'Ambiente de Control'!$B$21:$O$235,13,0)</f>
        <v>61.896230000000003</v>
      </c>
      <c r="H19" s="133">
        <f t="shared" ref="H19" si="6">+_xlfn.RANK.EQ(G19,$G$2:$G$82,1)</f>
        <v>24</v>
      </c>
      <c r="I19" s="131" t="str">
        <f t="shared" si="0"/>
        <v>Cuando en el análisis de los requerimientos en los diferenes componentes del MECI se cuente con aspectos evaluados en nivel 1 (presente) y 1 (funcionando); 2 (presente) y 1 (funcionando).</v>
      </c>
      <c r="J19" s="131" t="s">
        <v>357</v>
      </c>
      <c r="K19" s="131">
        <f>+IF(ISBLANK(VLOOKUP(A19,'Ambiente de Control'!$B$24:$F$235,5,0)),"",VLOOKUP(A19,'Ambiente de Control'!$B$24:$F$235,5,0))</f>
        <v>3</v>
      </c>
      <c r="L19" s="131">
        <f>+IF(ISBLANK(VLOOKUP(A19,'Ambiente de Control'!$B$24:$K$235,9,0)),"",VLOOKUP(A19,'Ambiente de Control'!$B$24:$K$235,9,0))</f>
        <v>3</v>
      </c>
      <c r="M19" s="131">
        <f t="shared" si="5"/>
        <v>1</v>
      </c>
      <c r="N19" s="131">
        <f t="shared" ref="N19" si="7">+AVERAGEIF($D$2:$D$82,D19,$M$2:$M$82)</f>
        <v>0.91666666666666663</v>
      </c>
      <c r="O19" s="131"/>
      <c r="P19" s="131"/>
    </row>
    <row r="20" spans="1:16" x14ac:dyDescent="0.2">
      <c r="A20" s="131" t="s">
        <v>364</v>
      </c>
      <c r="B20" s="131" t="str">
        <f t="shared" si="2"/>
        <v>5</v>
      </c>
      <c r="C20" s="131" t="str">
        <f>+MID(VLOOKUP(A20,'Ambiente de Control'!$B$21:$C$235,2,0),4,LEN(VLOOKUP(A20,'Ambiente de Control'!$B$21:$C$235,2,0))-4)</f>
        <v xml:space="preserve"> Acorde con la estructura del Esquema de Líneas de Defensa se han definido estándares de reporte, periodicidad y responsables frente a diferentes temas críticos de la entidad</v>
      </c>
      <c r="D20" s="131" t="s">
        <v>338</v>
      </c>
      <c r="E20" s="131" t="str">
        <f>+VLOOKUP(A20,'Ambiente de Control'!$B$21:$D$235,3,0)</f>
        <v>Dimension de Informaciòn y Comunicaciòn
Dimensiòn de Control Interno
Lineas de Defensa</v>
      </c>
      <c r="F20" s="131" t="str">
        <f>+VLOOKUP(A20,'Ambiente de Control'!$B$21:$K$235,10,0)</f>
        <v>Mantenimiento del control</v>
      </c>
      <c r="G20" s="131">
        <f>+VLOOKUP(A20,'Ambiente de Control'!$B$21:$O$235,13,0)</f>
        <v>61.189599999999999</v>
      </c>
      <c r="H20" s="133">
        <f t="shared" si="3"/>
        <v>18</v>
      </c>
      <c r="I20" s="131" t="str">
        <f t="shared" si="0"/>
        <v>Cuando en el análisis de los requerimientos en los diferenes componentes del MECI se cuente con aspectos evaluados en nivel 1 (presente) y 1 (funcionando); 2 (presente) y 1 (funcionando).</v>
      </c>
      <c r="J20" s="131" t="s">
        <v>365</v>
      </c>
      <c r="K20" s="131">
        <f>+IF(ISBLANK(VLOOKUP(A20,'Ambiente de Control'!$B$24:$F$235,5,0)),"",VLOOKUP(A20,'Ambiente de Control'!$B$24:$F$235,5,0))</f>
        <v>3</v>
      </c>
      <c r="L20" s="131">
        <f>+IF(ISBLANK(VLOOKUP(A20,'Ambiente de Control'!$B$24:$K$235,9,0)),"",VLOOKUP(A20,'Ambiente de Control'!$B$24:$K$235,9,0))</f>
        <v>3</v>
      </c>
      <c r="M20" s="131">
        <f t="shared" si="5"/>
        <v>1</v>
      </c>
      <c r="N20" s="131">
        <f t="shared" si="4"/>
        <v>0.91666666666666663</v>
      </c>
      <c r="O20" s="131"/>
      <c r="P20" s="131"/>
    </row>
    <row r="21" spans="1:16" x14ac:dyDescent="0.2">
      <c r="A21" s="131" t="s">
        <v>366</v>
      </c>
      <c r="B21" s="131" t="str">
        <f t="shared" si="2"/>
        <v>5</v>
      </c>
      <c r="C21" s="131" t="str">
        <f>+MID(VLOOKUP(A21,'Ambiente de Control'!$B$21:$C$235,2,0),4,LEN(VLOOKUP(A21,'Ambiente de Control'!$B$21:$C$235,2,0))-4)</f>
        <v xml:space="preserve"> La Alta Dirección analiza la información asociada con la generación de reportes financieros</v>
      </c>
      <c r="D21" s="131" t="s">
        <v>338</v>
      </c>
      <c r="E21" s="131" t="str">
        <f>+VLOOKUP(A21,'Ambiente de Control'!$B$21:$D$235,3,0)</f>
        <v xml:space="preserve">
Dimensiòn de Control Interno
Linea de Estrategica</v>
      </c>
      <c r="F21" s="131" t="str">
        <f>+VLOOKUP(A21,'Ambiente de Control'!$B$21:$K$235,10,0)</f>
        <v>Mantenimiento del control</v>
      </c>
      <c r="G21" s="131">
        <f>+VLOOKUP(A21,'Ambiente de Control'!$B$21:$O$235,13,0)</f>
        <v>61.289650000000002</v>
      </c>
      <c r="H21" s="133">
        <f t="shared" si="3"/>
        <v>19</v>
      </c>
      <c r="I21" s="131" t="str">
        <f t="shared" si="0"/>
        <v>Cuando en el análisis de los requerimientos en los diferenes componentes del MECI se cuente con aspectos evaluados en nivel 1 (presente) y 1 (funcionando); 2 (presente) y 1 (funcionando).</v>
      </c>
      <c r="J21" s="131" t="s">
        <v>365</v>
      </c>
      <c r="K21" s="131">
        <f>+IF(ISBLANK(VLOOKUP(A21,'Ambiente de Control'!$B$24:$F$235,5,0)),"",VLOOKUP(A21,'Ambiente de Control'!$B$24:$F$235,5,0))</f>
        <v>3</v>
      </c>
      <c r="L21" s="131">
        <f>+IF(ISBLANK(VLOOKUP(A21,'Ambiente de Control'!$B$24:$K$235,9,0)),"",VLOOKUP(A21,'Ambiente de Control'!$B$24:$K$235,9,0))</f>
        <v>3</v>
      </c>
      <c r="M21" s="131">
        <f t="shared" si="5"/>
        <v>1</v>
      </c>
      <c r="N21" s="131">
        <f t="shared" si="4"/>
        <v>0.91666666666666663</v>
      </c>
      <c r="O21" s="131"/>
      <c r="P21" s="131"/>
    </row>
    <row r="22" spans="1:16" x14ac:dyDescent="0.2">
      <c r="A22" s="131" t="s">
        <v>367</v>
      </c>
      <c r="B22" s="131" t="str">
        <f t="shared" si="2"/>
        <v>5</v>
      </c>
      <c r="C22" s="131" t="str">
        <f>+MID(VLOOKUP(A22,'Ambiente de Control'!$B$21:$C$235,2,0),4,LEN(VLOOKUP(A22,'Ambiente de Control'!$B$21:$C$235,2,0))-4)</f>
        <v xml:space="preserve"> Teniendo en cuenta la información suministrada por la 2a y 3a línea de defensa se toman decisiones a tiempo para garantizar el cumplimiento de las metas y objetivos</v>
      </c>
      <c r="D22" s="131" t="s">
        <v>338</v>
      </c>
      <c r="E22" s="131" t="str">
        <f>+VLOOKUP(A22,'Ambiente de Control'!$B$21:$D$235,3,0)</f>
        <v>Dimensiòn de Control Interno
Lineas de Defensa</v>
      </c>
      <c r="F22" s="131" t="str">
        <f>+VLOOKUP(A22,'Ambiente de Control'!$B$21:$K$235,10,0)</f>
        <v>Mantenimiento del control</v>
      </c>
      <c r="G22" s="131">
        <f>+VLOOKUP(A22,'Ambiente de Control'!$B$21:$O$235,13,0)</f>
        <v>61.389629999999997</v>
      </c>
      <c r="H22" s="133">
        <f t="shared" si="3"/>
        <v>20</v>
      </c>
      <c r="I22" s="131" t="str">
        <f t="shared" si="0"/>
        <v>Cuando en el análisis de los requerimientos en los diferenes componentes del MECI se cuente con aspectos evaluados en nivel 1 (presente) y 1 (funcionando); 2 (presente) y 1 (funcionando).</v>
      </c>
      <c r="J22" s="131" t="s">
        <v>365</v>
      </c>
      <c r="K22" s="131">
        <f>+IF(ISBLANK(VLOOKUP(A22,'Ambiente de Control'!$B$24:$F$235,5,0)),"",VLOOKUP(A22,'Ambiente de Control'!$B$24:$F$235,5,0))</f>
        <v>3</v>
      </c>
      <c r="L22" s="131">
        <f>+IF(ISBLANK(VLOOKUP(A22,'Ambiente de Control'!$B$24:$K$235,9,0)),"",VLOOKUP(A22,'Ambiente de Control'!$B$24:$K$235,9,0))</f>
        <v>3</v>
      </c>
      <c r="M22" s="131">
        <f t="shared" si="5"/>
        <v>1</v>
      </c>
      <c r="N22" s="131">
        <f t="shared" si="4"/>
        <v>0.91666666666666663</v>
      </c>
      <c r="O22" s="131"/>
      <c r="P22" s="131"/>
    </row>
    <row r="23" spans="1:16" x14ac:dyDescent="0.2">
      <c r="A23" s="131" t="s">
        <v>368</v>
      </c>
      <c r="B23" s="131" t="str">
        <f t="shared" si="2"/>
        <v>5</v>
      </c>
      <c r="C23" s="131" t="str">
        <f>+MID(VLOOKUP(A23,'Ambiente de Control'!$B$21:$C$235,2,0),4,LEN(VLOOKUP(A23,'Ambiente de Control'!$B$21:$C$235,2,0))-4)</f>
        <v xml:space="preserve"> Se evalúa la estructura de control a partir de los cambios en procesos, procedimientos, u otras herramientas, a fin de garantizar su adecuada formulación y afectación frente a la gestión del riesgo</v>
      </c>
      <c r="D23" s="131" t="s">
        <v>338</v>
      </c>
      <c r="E23" s="131" t="str">
        <f>+VLOOKUP(A23,'Ambiente de Control'!$B$21:$D$235,3,0)</f>
        <v>Dimension de Gestion con Valores para Resultado
Politica de Fortalecimiento Organizacional y Simplificaciòn de Procesos
Dimension Control Interno
Lineas de Defensa</v>
      </c>
      <c r="F23" s="131" t="str">
        <f>+VLOOKUP(A23,'Ambiente de Control'!$B$21:$K$235,10,0)</f>
        <v>Mantenimiento del control</v>
      </c>
      <c r="G23" s="131">
        <f>+VLOOKUP(A23,'Ambiente de Control'!$B$21:$O$235,13,0)</f>
        <v>61.489629999999998</v>
      </c>
      <c r="H23" s="133">
        <f t="shared" si="3"/>
        <v>21</v>
      </c>
      <c r="I23" s="131" t="str">
        <f t="shared" si="0"/>
        <v>Cuando en el análisis de los requerimientos en los diferenes componentes del MECI se cuente con aspectos evaluados en nivel 1 (presente) y 1 (funcionando); 2 (presente) y 1 (funcionando).</v>
      </c>
      <c r="J23" s="131" t="s">
        <v>365</v>
      </c>
      <c r="K23" s="131">
        <f>+IF(ISBLANK(VLOOKUP(A23,'Ambiente de Control'!$B$24:$F$235,5,0)),"",VLOOKUP(A23,'Ambiente de Control'!$B$24:$F$235,5,0))</f>
        <v>3</v>
      </c>
      <c r="L23" s="131">
        <f>+IF(ISBLANK(VLOOKUP(A23,'Ambiente de Control'!$B$24:$K$235,9,0)),"",VLOOKUP(A23,'Ambiente de Control'!$B$24:$K$235,9,0))</f>
        <v>3</v>
      </c>
      <c r="M23" s="131">
        <f t="shared" si="5"/>
        <v>1</v>
      </c>
      <c r="N23" s="131">
        <f t="shared" si="4"/>
        <v>0.91666666666666663</v>
      </c>
      <c r="O23" s="131"/>
      <c r="P23" s="131"/>
    </row>
    <row r="24" spans="1:16" x14ac:dyDescent="0.2">
      <c r="A24" s="131" t="s">
        <v>369</v>
      </c>
      <c r="B24" s="131" t="str">
        <f t="shared" si="2"/>
        <v>5</v>
      </c>
      <c r="C24" s="131" t="str">
        <f>+MID(VLOOKUP(A24,'Ambiente de Control'!$B$21:$C$235,2,0),4,LEN(VLOOKUP(A24,'Ambiente de Control'!$B$21:$C$235,2,0))-4)</f>
        <v xml:space="preserve"> La entidad aprueba y hace seguimiento al Plan Anual de Auditoría presentado y ejecutado por parte de la Oficina de Control Interno</v>
      </c>
      <c r="D24" s="131" t="s">
        <v>338</v>
      </c>
      <c r="E24" s="131" t="str">
        <f>+VLOOKUP(A24,'Ambiente de Control'!$B$21:$D$235,3,0)</f>
        <v>Dimension Control Interno
Linea Estrategica</v>
      </c>
      <c r="F24" s="131" t="str">
        <f>+VLOOKUP(A24,'Ambiente de Control'!$B$21:$K$235,10,0)</f>
        <v>Mantenimiento del control</v>
      </c>
      <c r="G24" s="131">
        <f>+VLOOKUP(A24,'Ambiente de Control'!$B$21:$O$235,13,0)</f>
        <v>61.589649999999999</v>
      </c>
      <c r="H24" s="133">
        <f t="shared" si="3"/>
        <v>22</v>
      </c>
      <c r="I24" s="131" t="str">
        <f t="shared" si="0"/>
        <v>Cuando en el análisis de los requerimientos en los diferenes componentes del MECI se cuente con aspectos evaluados en nivel 1 (presente) y 1 (funcionando); 2 (presente) y 1 (funcionando).</v>
      </c>
      <c r="J24" s="131" t="s">
        <v>365</v>
      </c>
      <c r="K24" s="131">
        <f>+IF(ISBLANK(VLOOKUP(A24,'Ambiente de Control'!$B$24:$F$235,5,0)),"",VLOOKUP(A24,'Ambiente de Control'!$B$24:$F$235,5,0))</f>
        <v>3</v>
      </c>
      <c r="L24" s="131">
        <f>+IF(ISBLANK(VLOOKUP(A24,'Ambiente de Control'!$B$24:$K$235,9,0)),"",VLOOKUP(A24,'Ambiente de Control'!$B$24:$K$235,9,0))</f>
        <v>3</v>
      </c>
      <c r="M24" s="131">
        <f t="shared" si="5"/>
        <v>1</v>
      </c>
      <c r="N24" s="131">
        <f t="shared" si="4"/>
        <v>0.91666666666666663</v>
      </c>
      <c r="O24" s="131"/>
      <c r="P24" s="131"/>
    </row>
    <row r="25" spans="1:16" x14ac:dyDescent="0.2">
      <c r="A25" s="131" t="s">
        <v>370</v>
      </c>
      <c r="B25" s="131" t="str">
        <f t="shared" si="2"/>
        <v>5</v>
      </c>
      <c r="C25" s="131" t="str">
        <f>+MID(VLOOKUP(A25,'Ambiente de Control'!$B$21:$C$235,2,0),4,LEN(VLOOKUP(A25,'Ambiente de Control'!$B$21:$C$235,2,0))-4)</f>
        <v xml:space="preserve"> La entidad analiza los informes presentados por la Oficina de Control Interno y evalúa su impacto en relación con la mejora institucional</v>
      </c>
      <c r="D25" s="131" t="s">
        <v>338</v>
      </c>
      <c r="E25" s="131" t="str">
        <f>+VLOOKUP(A25,'Ambiente de Control'!$B$21:$D$235,3,0)</f>
        <v>Dimension Control Interno
Linea Estrategica</v>
      </c>
      <c r="F25" s="131" t="str">
        <f>+VLOOKUP(A25,'Ambiente de Control'!$B$21:$K$235,10,0)</f>
        <v>Mantenimiento del control</v>
      </c>
      <c r="G25" s="131">
        <f>+VLOOKUP(A25,'Ambiente de Control'!$B$21:$O$235,13,0)</f>
        <v>61.689653</v>
      </c>
      <c r="H25" s="133">
        <f t="shared" si="3"/>
        <v>23</v>
      </c>
      <c r="I25" s="131" t="str">
        <f t="shared" si="0"/>
        <v>Cuando en el análisis de los requerimientos en los diferenes componentes del MECI se cuente con aspectos evaluados en nivel 1 (presente) y 1 (funcionando); 2 (presente) y 1 (funcionando).</v>
      </c>
      <c r="J25" s="131" t="s">
        <v>365</v>
      </c>
      <c r="K25" s="131">
        <f>+IF(ISBLANK(VLOOKUP(A25,'Ambiente de Control'!$B$24:$F$235,5,0)),"",VLOOKUP(A25,'Ambiente de Control'!$B$24:$F$235,5,0))</f>
        <v>3</v>
      </c>
      <c r="L25" s="131">
        <f>+IF(ISBLANK(VLOOKUP(A25,'Ambiente de Control'!$B$24:$K$235,9,0)),"",VLOOKUP(A25,'Ambiente de Control'!$B$24:$K$235,9,0))</f>
        <v>3</v>
      </c>
      <c r="M25" s="131">
        <f t="shared" si="5"/>
        <v>1</v>
      </c>
      <c r="N25" s="131">
        <f t="shared" si="4"/>
        <v>0.91666666666666663</v>
      </c>
      <c r="O25" s="131"/>
      <c r="P25" s="131"/>
    </row>
    <row r="26" spans="1:16" x14ac:dyDescent="0.2">
      <c r="A26" s="131" t="s">
        <v>371</v>
      </c>
      <c r="B26" s="131" t="str">
        <f t="shared" si="2"/>
        <v>6</v>
      </c>
      <c r="C26" s="131" t="str">
        <f>+MID(VLOOKUP(A26,'Evaluación de Riesgos'!$B$13:$C$160,2,0),4,LEN(VLOOKUP(A26,'Evaluación de Riesgos'!$B$13:$C$160,2,0))-4)</f>
        <v xml:space="preserve">  La Entidad cuenta con mecanismos para vincular o relacionar el plan estratégico con los objetivos estratégicos y estos a su vez con los objetivos operativos</v>
      </c>
      <c r="D26" s="131" t="s">
        <v>324</v>
      </c>
      <c r="E26" s="131" t="str">
        <f>+VLOOKUP(A26,'Evaluación de Riesgos'!$B$13:$K$160,3,0)</f>
        <v>Dimension de Direccionamiento Estratetegico y Planeacion.
Politica de Planeacion Institucional</v>
      </c>
      <c r="F26" s="131" t="str">
        <f>+VLOOKUP(A26,'Evaluación de Riesgos'!$B$13:$K$160,10,0)</f>
        <v>Mantenimiento del control</v>
      </c>
      <c r="G26" s="131">
        <f>+VLOOKUP(A26,'Evaluación de Riesgos'!$B$13:$O$160,13,0)</f>
        <v>141.78960000000001</v>
      </c>
      <c r="H26" s="133">
        <f t="shared" si="3"/>
        <v>25</v>
      </c>
      <c r="I26" s="131" t="str">
        <f t="shared" si="0"/>
        <v>Cuando en el análisis de los requerimientos en los diferenes componentes del MECI se cuente con aspectos evaluados en nivel 1 (presente) y 1 (funcionando); 2 (presente) y 1 (funcionando).</v>
      </c>
      <c r="J26" s="131" t="s">
        <v>372</v>
      </c>
      <c r="K26" s="131">
        <f>+IF(ISBLANK(VLOOKUP(A26,'Evaluación de Riesgos'!$B$16:$F$160,5,0)),"",VLOOKUP(A26,'Evaluación de Riesgos'!$B$16:$F$160,5,0))</f>
        <v>3</v>
      </c>
      <c r="L26" s="131">
        <f>+IF(ISBLANK(VLOOKUP(A26,'Evaluación de Riesgos'!$B$16:$J$160,9,9)),"",VLOOKUP(A26,'Evaluación de Riesgos'!$B$16:$J$160,9,9))</f>
        <v>3</v>
      </c>
      <c r="M26" s="131">
        <f t="shared" si="5"/>
        <v>1</v>
      </c>
      <c r="N26" s="131">
        <f t="shared" si="4"/>
        <v>1</v>
      </c>
      <c r="O26" s="131"/>
      <c r="P26" s="131"/>
    </row>
    <row r="27" spans="1:16" x14ac:dyDescent="0.2">
      <c r="A27" s="131" t="s">
        <v>373</v>
      </c>
      <c r="B27" s="131" t="str">
        <f t="shared" si="2"/>
        <v>6</v>
      </c>
      <c r="C27" s="131" t="str">
        <f>+MID(VLOOKUP(A27,'Evaluación de Riesgos'!$B$13:$C$160,2,0),4,LEN(VLOOKUP(A27,'Evaluación de Riesgos'!$B$13:$C$160,2,0))-4)</f>
        <v xml:space="preserve"> Los objetivos de los procesos, programas o proyectos (según aplique) que están definidos, son específicos, medibles, alcanzables, relevantes, delimitados en el tiempo</v>
      </c>
      <c r="D27" s="131" t="s">
        <v>324</v>
      </c>
      <c r="E27" s="131" t="str">
        <f>+VLOOKUP(A27,'Evaluación de Riesgos'!$B$13:$K$160,3,0)</f>
        <v>Dimension de Gestion con Valores para Resultado
Politica de Fortalecimiento Organizacional y Simplificaciòn de Procesos</v>
      </c>
      <c r="F27" s="131" t="str">
        <f>+VLOOKUP(A27,'Evaluación de Riesgos'!$B$13:$K$160,10,0)</f>
        <v>Mantenimiento del control</v>
      </c>
      <c r="G27" s="131">
        <f>+VLOOKUP(A27,'Evaluación de Riesgos'!$B$13:$O$160,13,0)</f>
        <v>141.8896</v>
      </c>
      <c r="H27" s="133">
        <f t="shared" si="3"/>
        <v>26</v>
      </c>
      <c r="I27" s="131" t="str">
        <f t="shared" si="0"/>
        <v>Cuando en el análisis de los requerimientos en los diferenes componentes del MECI se cuente con aspectos evaluados en nivel 1 (presente) y 1 (funcionando); 2 (presente) y 1 (funcionando).</v>
      </c>
      <c r="J27" s="131" t="s">
        <v>372</v>
      </c>
      <c r="K27" s="131">
        <f>+IF(ISBLANK(VLOOKUP(A27,'Evaluación de Riesgos'!$B$16:$F$160,5,0)),"",VLOOKUP(A27,'Evaluación de Riesgos'!$B$16:$F$160,5,0))</f>
        <v>3</v>
      </c>
      <c r="L27" s="131">
        <f>+IF(ISBLANK(VLOOKUP(A27,'Evaluación de Riesgos'!$B$16:$J$160,9,9)),"",VLOOKUP(A27,'Evaluación de Riesgos'!$B$16:$J$160,9,9))</f>
        <v>3</v>
      </c>
      <c r="M27" s="131">
        <f t="shared" si="5"/>
        <v>1</v>
      </c>
      <c r="N27" s="131">
        <f t="shared" si="4"/>
        <v>1</v>
      </c>
      <c r="O27" s="131"/>
      <c r="P27" s="131"/>
    </row>
    <row r="28" spans="1:16" x14ac:dyDescent="0.2">
      <c r="A28" s="131" t="s">
        <v>374</v>
      </c>
      <c r="B28" s="131" t="str">
        <f t="shared" si="2"/>
        <v>6</v>
      </c>
      <c r="C28" s="131" t="str">
        <f>+MID(VLOOKUP(A28,'Evaluación de Riesgos'!$B$13:$C$160,2,0),4,LEN(VLOOKUP(A28,'Evaluación de Riesgos'!$B$13:$C$160,2,0))-4)</f>
        <v xml:space="preserve"> La Alta Dirección evalúa periódicamente los objetivos establecidos para asegurar que estos continúan siendo consistentes y apropiados para la Entidad</v>
      </c>
      <c r="D28" s="131" t="s">
        <v>324</v>
      </c>
      <c r="E28" s="131" t="str">
        <f>+VLOOKUP(A28,'Evaluación de Riesgos'!$B$13:$K$160,3,0)</f>
        <v>Dimension de Direccionamiento Estratetegico y Planeacion.
Politica de Planeacion Institucional
Dimension Control Interno
Linea Estrategica</v>
      </c>
      <c r="F28" s="131" t="str">
        <f>+VLOOKUP(A28,'Evaluación de Riesgos'!$B$13:$K$160,10,0)</f>
        <v>Mantenimiento del control</v>
      </c>
      <c r="G28" s="131">
        <f>+VLOOKUP(A28,'Evaluación de Riesgos'!$B$13:$O$160,13,0)</f>
        <v>141.97540000000001</v>
      </c>
      <c r="H28" s="133">
        <f t="shared" si="3"/>
        <v>27</v>
      </c>
      <c r="I28" s="131" t="str">
        <f t="shared" si="0"/>
        <v>Cuando en el análisis de los requerimientos en los diferenes componentes del MECI se cuente con aspectos evaluados en nivel 1 (presente) y 1 (funcionando); 2 (presente) y 1 (funcionando).</v>
      </c>
      <c r="J28" s="131" t="s">
        <v>372</v>
      </c>
      <c r="K28" s="131">
        <f>+IF(ISBLANK(VLOOKUP(A28,'Evaluación de Riesgos'!$B$16:$F$160,5,0)),"",VLOOKUP(A28,'Evaluación de Riesgos'!$B$16:$F$160,5,0))</f>
        <v>3</v>
      </c>
      <c r="L28" s="131">
        <f>+IF(ISBLANK(VLOOKUP(A28,'Evaluación de Riesgos'!$B$16:$J$160,9,9)),"",VLOOKUP(A28,'Evaluación de Riesgos'!$B$16:$J$160,9,9))</f>
        <v>3</v>
      </c>
      <c r="M28" s="131">
        <f t="shared" si="5"/>
        <v>1</v>
      </c>
      <c r="N28" s="131">
        <f t="shared" si="4"/>
        <v>1</v>
      </c>
      <c r="O28" s="131"/>
      <c r="P28" s="131"/>
    </row>
    <row r="29" spans="1:16" x14ac:dyDescent="0.2">
      <c r="A29" s="131" t="s">
        <v>375</v>
      </c>
      <c r="B29" s="131" t="str">
        <f t="shared" si="2"/>
        <v>7</v>
      </c>
      <c r="C29" s="131" t="str">
        <f>+MID(VLOOKUP(A29,'Evaluación de Riesgos'!$B$13:$C$160,2,0),4,LEN(VLOOKUP(A29,'Evaluación de Riesgos'!$B$13:$C$160,2,0))-4)</f>
        <v xml:space="preserve"> Teniendo en cuenta la estructura de la política de Administración del Riesgo, su alcance define lineamientos para toda la entidad, incluyendo regionales, áreas tercerizadas u otras instancias que afectan la prestación del servicio</v>
      </c>
      <c r="D29" s="131" t="s">
        <v>324</v>
      </c>
      <c r="E29" s="131" t="str">
        <f>+VLOOKUP(A29,'Evaluación de Riesgos'!$B$13:$K$160,3,0)</f>
        <v>Dimension de Direccionamiento Estratetegico y Planeacion.
Politica de Planeacion Institucional</v>
      </c>
      <c r="F29" s="131" t="str">
        <f>+VLOOKUP(A29,'Evaluación de Riesgos'!$B$13:$K$160,10,0)</f>
        <v>Mantenimiento del control</v>
      </c>
      <c r="G29" s="131">
        <f>+VLOOKUP(A29,'Evaluación de Riesgos'!$B$13:$O$160,13,0)</f>
        <v>142.08959999999999</v>
      </c>
      <c r="H29" s="133">
        <f t="shared" si="3"/>
        <v>28</v>
      </c>
      <c r="I29" s="131" t="str">
        <f t="shared" si="0"/>
        <v>Cuando en el análisis de los requerimientos en los diferenes componentes del MECI se cuente con aspectos evaluados en nivel 1 (presente) y 1 (funcionando); 2 (presente) y 1 (funcionando).</v>
      </c>
      <c r="J29" s="131" t="s">
        <v>376</v>
      </c>
      <c r="K29" s="131">
        <f>+IF(ISBLANK(VLOOKUP(A29,'Evaluación de Riesgos'!$B$16:$F$160,5,0)),"",VLOOKUP(A29,'Evaluación de Riesgos'!$B$16:$F$160,5,0))</f>
        <v>3</v>
      </c>
      <c r="L29" s="131">
        <f>+IF(ISBLANK(VLOOKUP(A29,'Evaluación de Riesgos'!$B$16:$J$160,9,9)),"",VLOOKUP(A29,'Evaluación de Riesgos'!$B$16:$J$160,9,9))</f>
        <v>3</v>
      </c>
      <c r="M29" s="131">
        <f t="shared" si="5"/>
        <v>1</v>
      </c>
      <c r="N29" s="131">
        <f t="shared" si="4"/>
        <v>1</v>
      </c>
      <c r="O29" s="131"/>
      <c r="P29" s="131"/>
    </row>
    <row r="30" spans="1:16" x14ac:dyDescent="0.2">
      <c r="A30" s="131" t="s">
        <v>377</v>
      </c>
      <c r="B30" s="131" t="str">
        <f t="shared" si="2"/>
        <v>7</v>
      </c>
      <c r="C30" s="131" t="str">
        <f>+MID(VLOOKUP(A30,'Evaluación de Riesgos'!$B$13:$C$160,2,0),4,LEN(VLOOKUP(A30,'Evaluación de Riesgos'!$B$13:$C$160,2,0))-4)</f>
        <v xml:space="preserve"> La Oficina de Planeación, Gerencia de Riesgos (donde existan), como 2a línea de defensa, consolidan información clave frente a la gestión del riesgo</v>
      </c>
      <c r="D30" s="131" t="s">
        <v>324</v>
      </c>
      <c r="E30" s="131" t="str">
        <f>+VLOOKUP(A30,'Evaluación de Riesgos'!$B$13:$K$160,3,0)</f>
        <v>Dimension Control Interno 
Lineas de Defensa</v>
      </c>
      <c r="F30" s="131" t="str">
        <f>+VLOOKUP(A30,'Evaluación de Riesgos'!$B$13:$K$160,10,0)</f>
        <v>Mantenimiento del control</v>
      </c>
      <c r="G30" s="131">
        <f>+VLOOKUP(A30,'Evaluación de Riesgos'!$B$13:$O$160,13,0)</f>
        <v>142.1456</v>
      </c>
      <c r="H30" s="133">
        <f t="shared" si="3"/>
        <v>29</v>
      </c>
      <c r="I30" s="131" t="str">
        <f t="shared" si="0"/>
        <v>Cuando en el análisis de los requerimientos en los diferenes componentes del MECI se cuente con aspectos evaluados en nivel 1 (presente) y 1 (funcionando); 2 (presente) y 1 (funcionando).</v>
      </c>
      <c r="J30" s="131" t="s">
        <v>376</v>
      </c>
      <c r="K30" s="131">
        <f>+IF(ISBLANK(VLOOKUP(A30,'Evaluación de Riesgos'!$B$16:$F$160,5,0)),"",VLOOKUP(A30,'Evaluación de Riesgos'!$B$16:$F$160,5,0))</f>
        <v>3</v>
      </c>
      <c r="L30" s="131">
        <f>+IF(ISBLANK(VLOOKUP(A30,'Evaluación de Riesgos'!$B$16:$J$160,9,9)),"",VLOOKUP(A30,'Evaluación de Riesgos'!$B$16:$J$160,9,9))</f>
        <v>3</v>
      </c>
      <c r="M30" s="131">
        <f t="shared" si="5"/>
        <v>1</v>
      </c>
      <c r="N30" s="131">
        <f t="shared" si="4"/>
        <v>1</v>
      </c>
      <c r="O30" s="131"/>
      <c r="P30" s="131"/>
    </row>
    <row r="31" spans="1:16" x14ac:dyDescent="0.2">
      <c r="A31" s="131" t="s">
        <v>378</v>
      </c>
      <c r="B31" s="131" t="str">
        <f t="shared" si="2"/>
        <v>7</v>
      </c>
      <c r="C31" s="131" t="str">
        <f>+MID(VLOOKUP(A31,'Evaluación de Riesgos'!$B$13:$C$160,2,0),4,LEN(VLOOKUP(A31,'Evaluación de Riesgos'!$B$13:$C$160,2,0))-4)</f>
        <v xml:space="preserve"> A partir de la información consolidada y reportada por la 2a línea de defensa (7.2), la Alta Dirección analiza sus resultados y en especial considera si se han presentado materializaciones de riesgo</v>
      </c>
      <c r="D31" s="131" t="s">
        <v>324</v>
      </c>
      <c r="E31" s="131" t="str">
        <f>+VLOOKUP(A31,'Evaluación de Riesgos'!$B$13:$K$160,3,0)</f>
        <v>Dimension Control Interno 
Lineas de Defensa</v>
      </c>
      <c r="F31" s="131" t="str">
        <f>+VLOOKUP(A31,'Evaluación de Riesgos'!$B$13:$K$160,10,0)</f>
        <v>Mantenimiento del control</v>
      </c>
      <c r="G31" s="131">
        <f>+VLOOKUP(A31,'Evaluación de Riesgos'!$B$13:$O$160,13,0)</f>
        <v>142.23650000000001</v>
      </c>
      <c r="H31" s="133">
        <f t="shared" si="3"/>
        <v>30</v>
      </c>
      <c r="I31" s="131" t="str">
        <f t="shared" si="0"/>
        <v>Cuando en el análisis de los requerimientos en los diferenes componentes del MECI se cuente con aspectos evaluados en nivel 1 (presente) y 1 (funcionando); 2 (presente) y 1 (funcionando).</v>
      </c>
      <c r="J31" s="131" t="s">
        <v>376</v>
      </c>
      <c r="K31" s="131">
        <f>+IF(ISBLANK(VLOOKUP(A31,'Evaluación de Riesgos'!$B$16:$F$160,5,0)),"",VLOOKUP(A31,'Evaluación de Riesgos'!$B$16:$F$160,5,0))</f>
        <v>3</v>
      </c>
      <c r="L31" s="131">
        <f>+IF(ISBLANK(VLOOKUP(A31,'Evaluación de Riesgos'!$B$16:$J$160,9,9)),"",VLOOKUP(A31,'Evaluación de Riesgos'!$B$16:$J$160,9,9))</f>
        <v>3</v>
      </c>
      <c r="M31" s="131">
        <f t="shared" si="5"/>
        <v>1</v>
      </c>
      <c r="N31" s="131">
        <f t="shared" si="4"/>
        <v>1</v>
      </c>
      <c r="O31" s="131"/>
      <c r="P31" s="131"/>
    </row>
    <row r="32" spans="1:16" x14ac:dyDescent="0.2">
      <c r="A32" s="131" t="s">
        <v>379</v>
      </c>
      <c r="B32" s="131" t="str">
        <f t="shared" si="2"/>
        <v>7</v>
      </c>
      <c r="C32" s="131" t="str">
        <f>+MID(VLOOKUP(A32,'Evaluación de Riesgos'!$B$13:$C$160,2,0),4,LEN(VLOOKUP(A32,'Evaluación de Riesgos'!$B$13:$C$160,2,0))-4)</f>
        <v xml:space="preserve"> Cuando se detectan materializaciones de riesgo, se definen los cursos de acción en relación con la revisión y actualización del mapa de riesgos correspondiente</v>
      </c>
      <c r="D32" s="131" t="s">
        <v>324</v>
      </c>
      <c r="E32" s="131" t="str">
        <f>+VLOOKUP(A32,'Evaluación de Riesgos'!$B$13:$K$160,3,0)</f>
        <v>Dimension de Direccionamiento Estratetegico y Planeacion.
Politica de Planeacion Institucional
Dimension Control Interno 
Lineas de Defensa</v>
      </c>
      <c r="F32" s="131" t="str">
        <f>+VLOOKUP(A32,'Evaluación de Riesgos'!$B$13:$K$160,10,0)</f>
        <v>Mantenimiento del control</v>
      </c>
      <c r="G32" s="131">
        <f>+VLOOKUP(A32,'Evaluación de Riesgos'!$B$13:$O$160,13,0)</f>
        <v>142.3896</v>
      </c>
      <c r="H32" s="133">
        <f t="shared" si="3"/>
        <v>31</v>
      </c>
      <c r="I32" s="131" t="str">
        <f t="shared" si="0"/>
        <v>Cuando en el análisis de los requerimientos en los diferenes componentes del MECI se cuente con aspectos evaluados en nivel 1 (presente) y 1 (funcionando); 2 (presente) y 1 (funcionando).</v>
      </c>
      <c r="J32" s="131" t="s">
        <v>376</v>
      </c>
      <c r="K32" s="131">
        <f>+IF(ISBLANK(VLOOKUP(A32,'Evaluación de Riesgos'!$B$16:$F$160,5,0)),"",VLOOKUP(A32,'Evaluación de Riesgos'!$B$16:$F$160,5,0))</f>
        <v>3</v>
      </c>
      <c r="L32" s="131">
        <f>+IF(ISBLANK(VLOOKUP(A32,'Evaluación de Riesgos'!$B$16:$J$160,9,9)),"",VLOOKUP(A32,'Evaluación de Riesgos'!$B$16:$J$160,9,9))</f>
        <v>3</v>
      </c>
      <c r="M32" s="131">
        <f t="shared" si="5"/>
        <v>1</v>
      </c>
      <c r="N32" s="131">
        <f t="shared" si="4"/>
        <v>1</v>
      </c>
      <c r="O32" s="131"/>
      <c r="P32" s="131"/>
    </row>
    <row r="33" spans="1:16" x14ac:dyDescent="0.2">
      <c r="A33" s="131" t="s">
        <v>380</v>
      </c>
      <c r="B33" s="131" t="str">
        <f t="shared" si="2"/>
        <v>7</v>
      </c>
      <c r="C33" s="131" t="str">
        <f>+MID(VLOOKUP(A33,'Evaluación de Riesgos'!$B$13:$C$160,2,0),4,LEN(VLOOKUP(A33,'Evaluación de Riesgos'!$B$13:$C$160,2,0))-4)</f>
        <v xml:space="preserve"> Se llevan a cabo seguimientos a las acciones definidas para resolver materializaciones de riesgo detectadas</v>
      </c>
      <c r="D33" s="131" t="s">
        <v>324</v>
      </c>
      <c r="E33" s="131" t="str">
        <f>+VLOOKUP(A33,'Evaluación de Riesgos'!$B$13:$K$160,3,0)</f>
        <v>Dimension de Evaluacion de Resultados 
Politica de Seguimiento y evaluacion al Desempeño Institucional.
Dimension Control Interno 
Lineas de Defensa</v>
      </c>
      <c r="F33" s="131" t="str">
        <f>+VLOOKUP(A33,'Evaluación de Riesgos'!$B$13:$K$160,10,0)</f>
        <v>Mantenimiento del control</v>
      </c>
      <c r="G33" s="131">
        <f>+VLOOKUP(A33,'Evaluación de Riesgos'!$B$13:$O$160,13,0)</f>
        <v>142.4563</v>
      </c>
      <c r="H33" s="133">
        <f t="shared" si="3"/>
        <v>32</v>
      </c>
      <c r="I33" s="131" t="str">
        <f t="shared" si="0"/>
        <v>Cuando en el análisis de los requerimientos en los diferenes componentes del MECI se cuente con aspectos evaluados en nivel 1 (presente) y 1 (funcionando); 2 (presente) y 1 (funcionando).</v>
      </c>
      <c r="J33" s="131" t="s">
        <v>376</v>
      </c>
      <c r="K33" s="131">
        <f>+IF(ISBLANK(VLOOKUP(A33,'Evaluación de Riesgos'!$B$16:$F$160,5,0)),"",VLOOKUP(A33,'Evaluación de Riesgos'!$B$16:$F$160,5,0))</f>
        <v>3</v>
      </c>
      <c r="L33" s="131">
        <f>+IF(ISBLANK(VLOOKUP(A33,'Evaluación de Riesgos'!$B$16:$J$160,9,9)),"",VLOOKUP(A33,'Evaluación de Riesgos'!$B$16:$J$160,9,9))</f>
        <v>3</v>
      </c>
      <c r="M33" s="131">
        <f t="shared" si="5"/>
        <v>1</v>
      </c>
      <c r="N33" s="131">
        <f t="shared" si="4"/>
        <v>1</v>
      </c>
      <c r="O33" s="131"/>
      <c r="P33" s="131"/>
    </row>
    <row r="34" spans="1:16" x14ac:dyDescent="0.2">
      <c r="A34" s="131" t="s">
        <v>381</v>
      </c>
      <c r="B34" s="131" t="str">
        <f t="shared" si="2"/>
        <v>8</v>
      </c>
      <c r="C34" s="131" t="str">
        <f>+MID(VLOOKUP(A34,'Evaluación de Riesgos'!$B$13:$C$160,2,0),4,LEN(VLOOKUP(A34,'Evaluación de Riesgos'!$B$13:$C$160,2,0))-4)</f>
        <v xml:space="preserve"> La Alta Dirección acorde con el análisis del entorno interno y externo, define los procesos, programas o proyectos (según aplique), susceptibles de posibles actos de corrupción</v>
      </c>
      <c r="D34" s="131" t="s">
        <v>324</v>
      </c>
      <c r="E34" s="131" t="str">
        <f>+VLOOKUP(A34,'Evaluación de Riesgos'!$B$13:$K$160,3,0)</f>
        <v>Dimension de Direccionamiento Estratetegico y Planeacion.
Politica de Planeacion Institucional</v>
      </c>
      <c r="F34" s="131" t="str">
        <f>+VLOOKUP(A34,'Evaluación de Riesgos'!$B$13:$K$160,10,0)</f>
        <v>Mantenimiento del control</v>
      </c>
      <c r="G34" s="131">
        <f>+VLOOKUP(A34,'Evaluación de Riesgos'!$B$13:$O$160,13,0)</f>
        <v>142.54579999999999</v>
      </c>
      <c r="H34" s="133">
        <f t="shared" si="3"/>
        <v>33</v>
      </c>
      <c r="I34" s="131" t="str">
        <f t="shared" ref="I34:I65" si="8">+IF(F34=$F$2,$P$4,IF(F34=$F$3,$P$2,$P$3))</f>
        <v>Cuando en el análisis de los requerimientos en los diferenes componentes del MECI se cuente con aspectos evaluados en nivel 1 (presente) y 1 (funcionando); 2 (presente) y 1 (funcionando).</v>
      </c>
      <c r="J34" s="131" t="s">
        <v>382</v>
      </c>
      <c r="K34" s="131">
        <f>+IF(ISBLANK(VLOOKUP(A34,'Evaluación de Riesgos'!$B$16:$F$160,5,0)),"",VLOOKUP(A34,'Evaluación de Riesgos'!$B$16:$F$160,5,0))</f>
        <v>3</v>
      </c>
      <c r="L34" s="131">
        <f>+IF(ISBLANK(VLOOKUP(A34,'Evaluación de Riesgos'!$B$16:$J$160,9,9)),"",VLOOKUP(A34,'Evaluación de Riesgos'!$B$16:$J$160,9,9))</f>
        <v>3</v>
      </c>
      <c r="M34" s="131">
        <f t="shared" si="5"/>
        <v>1</v>
      </c>
      <c r="N34" s="131">
        <f t="shared" si="4"/>
        <v>1</v>
      </c>
      <c r="O34" s="131"/>
      <c r="P34" s="131"/>
    </row>
    <row r="35" spans="1:16" x14ac:dyDescent="0.2">
      <c r="A35" s="131" t="s">
        <v>383</v>
      </c>
      <c r="B35" s="131" t="str">
        <f t="shared" si="2"/>
        <v>8</v>
      </c>
      <c r="C35" s="131" t="str">
        <f>+MID(VLOOKUP(A35,'Evaluación de Riesgos'!$B$13:$C$160,2,0),4,LEN(VLOOKUP(A35,'Evaluación de Riesgos'!$B$13:$C$160,2,0))-4)</f>
        <v xml:space="preserve"> La Alta Dirección monitorea los riesgos de corrupción con la periodicidad establecida en la Política de Administración del Riesgo</v>
      </c>
      <c r="D35" s="131" t="s">
        <v>324</v>
      </c>
      <c r="E35" s="131" t="str">
        <f>+VLOOKUP(A35,'Evaluación de Riesgos'!$B$13:$K$160,3,0)</f>
        <v>Dimension de Control Interno
Linea Estrategica</v>
      </c>
      <c r="F35" s="131" t="str">
        <f>+VLOOKUP(A35,'Evaluación de Riesgos'!$B$13:$K$160,10,0)</f>
        <v>Mantenimiento del control</v>
      </c>
      <c r="G35" s="131">
        <f>+VLOOKUP(A35,'Evaluación de Riesgos'!$B$13:$O$160,13,0)</f>
        <v>142.63210000000001</v>
      </c>
      <c r="H35" s="133">
        <f t="shared" si="3"/>
        <v>34</v>
      </c>
      <c r="I35" s="131" t="str">
        <f t="shared" si="8"/>
        <v>Cuando en el análisis de los requerimientos en los diferenes componentes del MECI se cuente con aspectos evaluados en nivel 1 (presente) y 1 (funcionando); 2 (presente) y 1 (funcionando).</v>
      </c>
      <c r="J35" s="131" t="s">
        <v>382</v>
      </c>
      <c r="K35" s="131">
        <f>+IF(ISBLANK(VLOOKUP(A35,'Evaluación de Riesgos'!$B$16:$F$160,5,0)),"",VLOOKUP(A35,'Evaluación de Riesgos'!$B$16:$F$160,5,0))</f>
        <v>3</v>
      </c>
      <c r="L35" s="131">
        <f>+IF(ISBLANK(VLOOKUP(A35,'Evaluación de Riesgos'!$B$16:$J$160,9,9)),"",VLOOKUP(A35,'Evaluación de Riesgos'!$B$16:$J$160,9,9))</f>
        <v>3</v>
      </c>
      <c r="M35" s="131">
        <f t="shared" si="5"/>
        <v>1</v>
      </c>
      <c r="N35" s="131">
        <f t="shared" si="4"/>
        <v>1</v>
      </c>
      <c r="O35" s="131"/>
      <c r="P35" s="131"/>
    </row>
    <row r="36" spans="1:16" x14ac:dyDescent="0.2">
      <c r="A36" s="131" t="s">
        <v>384</v>
      </c>
      <c r="B36" s="131" t="str">
        <f t="shared" si="2"/>
        <v>8</v>
      </c>
      <c r="C36" s="131" t="str">
        <f>+MID(VLOOKUP(A36,'Evaluación de Riesgos'!$B$13:$C$160,2,0),4,LEN(VLOOKUP(A36,'Evaluación de Riesgos'!$B$13:$C$160,2,0))-4)</f>
        <v xml:space="preserve"> Para el desarrollo de las actividades de control, la entidad considera la adecuada división de las funciones y que éstas se encuentren segregadas en diferentes personas para reducir el riesgo de acciones fraudulentas</v>
      </c>
      <c r="D36" s="131" t="s">
        <v>324</v>
      </c>
      <c r="E36" s="131" t="str">
        <f>+VLOOKUP(A36,'Evaluación de Riesgos'!$B$13:$K$160,3,0)</f>
        <v>Dimension de Contro Interno
Lineas de Defensa</v>
      </c>
      <c r="F36" s="131" t="str">
        <f>+VLOOKUP(A36,'Evaluación de Riesgos'!$B$13:$K$160,10,0)</f>
        <v>Mantenimiento del control</v>
      </c>
      <c r="G36" s="131">
        <f>+VLOOKUP(A36,'Evaluación de Riesgos'!$B$13:$O$160,13,0)</f>
        <v>142.7456</v>
      </c>
      <c r="H36" s="133">
        <f t="shared" si="3"/>
        <v>35</v>
      </c>
      <c r="I36" s="131" t="str">
        <f t="shared" si="8"/>
        <v>Cuando en el análisis de los requerimientos en los diferenes componentes del MECI se cuente con aspectos evaluados en nivel 1 (presente) y 1 (funcionando); 2 (presente) y 1 (funcionando).</v>
      </c>
      <c r="J36" s="131" t="s">
        <v>382</v>
      </c>
      <c r="K36" s="131">
        <f>+IF(ISBLANK(VLOOKUP(A36,'Evaluación de Riesgos'!$B$16:$F$160,5,0)),"",VLOOKUP(A36,'Evaluación de Riesgos'!$B$16:$F$160,5,0))</f>
        <v>3</v>
      </c>
      <c r="L36" s="131">
        <f>+IF(ISBLANK(VLOOKUP(A36,'Evaluación de Riesgos'!$B$16:$J$160,9,9)),"",VLOOKUP(A36,'Evaluación de Riesgos'!$B$16:$J$160,9,9))</f>
        <v>3</v>
      </c>
      <c r="M36" s="131">
        <f t="shared" si="5"/>
        <v>1</v>
      </c>
      <c r="N36" s="131">
        <f t="shared" si="4"/>
        <v>1</v>
      </c>
      <c r="O36" s="131"/>
      <c r="P36" s="131"/>
    </row>
    <row r="37" spans="1:16" x14ac:dyDescent="0.2">
      <c r="A37" s="131" t="s">
        <v>385</v>
      </c>
      <c r="B37" s="131" t="str">
        <f t="shared" si="2"/>
        <v>8</v>
      </c>
      <c r="C37" s="131" t="str">
        <f>+MID(VLOOKUP(A37,'Evaluación de Riesgos'!$B$13:$C$160,2,0),4,LEN(VLOOKUP(A37,'Evaluación de Riesgos'!$B$13:$C$160,2,0))-4)</f>
        <v xml:space="preserve"> La Alta Dirección evalúa fallas en los controles (diseño y ejecución) para definir cursos de acción apropiados para su mejora</v>
      </c>
      <c r="D37" s="131" t="s">
        <v>324</v>
      </c>
      <c r="E37" s="131" t="str">
        <f>+VLOOKUP(A37,'Evaluación de Riesgos'!$B$13:$K$160,3,0)</f>
        <v>Dimension de Control Interno
Linea Estrategica</v>
      </c>
      <c r="F37" s="131" t="str">
        <f>+VLOOKUP(A37,'Evaluación de Riesgos'!$B$13:$K$160,10,0)</f>
        <v>Mantenimiento del control</v>
      </c>
      <c r="G37" s="131">
        <f>+VLOOKUP(A37,'Evaluación de Riesgos'!$B$13:$O$160,13,0)</f>
        <v>142.87450000000001</v>
      </c>
      <c r="H37" s="133">
        <f t="shared" si="3"/>
        <v>36</v>
      </c>
      <c r="I37" s="131" t="str">
        <f t="shared" si="8"/>
        <v>Cuando en el análisis de los requerimientos en los diferenes componentes del MECI se cuente con aspectos evaluados en nivel 1 (presente) y 1 (funcionando); 2 (presente) y 1 (funcionando).</v>
      </c>
      <c r="J37" s="131" t="s">
        <v>382</v>
      </c>
      <c r="K37" s="131">
        <f>+IF(ISBLANK(VLOOKUP(A37,'Evaluación de Riesgos'!$B$16:$F$160,5,0)),"",VLOOKUP(A37,'Evaluación de Riesgos'!$B$16:$F$160,5,0))</f>
        <v>3</v>
      </c>
      <c r="L37" s="131">
        <f>+IF(ISBLANK(VLOOKUP(A37,'Evaluación de Riesgos'!$B$16:$J$160,9,9)),"",VLOOKUP(A37,'Evaluación de Riesgos'!$B$16:$J$160,9,9))</f>
        <v>3</v>
      </c>
      <c r="M37" s="131">
        <f t="shared" si="5"/>
        <v>1</v>
      </c>
      <c r="N37" s="131">
        <f t="shared" si="4"/>
        <v>1</v>
      </c>
      <c r="O37" s="131"/>
      <c r="P37" s="131"/>
    </row>
    <row r="38" spans="1:16" x14ac:dyDescent="0.2">
      <c r="A38" s="131" t="s">
        <v>386</v>
      </c>
      <c r="B38" s="131" t="str">
        <f t="shared" si="2"/>
        <v>9</v>
      </c>
      <c r="C38" s="131" t="str">
        <f>+MID(VLOOKUP(A38,'Evaluación de Riesgos'!$B$13:$C$160,2,0),4,LEN(VLOOKUP(A38,'Evaluación de Riesgos'!$B$13:$C$160,2,0))-4)</f>
        <v xml:space="preserve"> Acorde con lo establecido en la política de Administración del Riesgo, se monitorean los factores internos y externos definidos para la entidad, a fin de establecer cambios en el entorno que determinen nuevos riesgos o ajustes a los existentes</v>
      </c>
      <c r="D38" s="131" t="s">
        <v>324</v>
      </c>
      <c r="E38" s="131" t="str">
        <f>+VLOOKUP(A38,'Evaluación de Riesgos'!$B$13:$K$160,3,0)</f>
        <v>Dimension de Direccionamiento Estrategico 
Politica de Planeacion Institucional</v>
      </c>
      <c r="F38" s="131" t="str">
        <f>+VLOOKUP(A38,'Evaluación de Riesgos'!$B$13:$K$160,10,0)</f>
        <v>Mantenimiento del control</v>
      </c>
      <c r="G38" s="131">
        <f>+VLOOKUP(A38,'Evaluación de Riesgos'!$B$13:$O$160,13,0)</f>
        <v>142.96350000000001</v>
      </c>
      <c r="H38" s="133">
        <f t="shared" si="3"/>
        <v>37</v>
      </c>
      <c r="I38" s="131" t="str">
        <f t="shared" si="8"/>
        <v>Cuando en el análisis de los requerimientos en los diferenes componentes del MECI se cuente con aspectos evaluados en nivel 1 (presente) y 1 (funcionando); 2 (presente) y 1 (funcionando).</v>
      </c>
      <c r="J38" s="131" t="s">
        <v>387</v>
      </c>
      <c r="K38" s="131">
        <f>+IF(ISBLANK(VLOOKUP(A38,'Evaluación de Riesgos'!$B$16:$F$160,5,0)),"",VLOOKUP(A38,'Evaluación de Riesgos'!$B$16:$F$160,5,0))</f>
        <v>3</v>
      </c>
      <c r="L38" s="131">
        <f>+IF(ISBLANK(VLOOKUP(A38,'Evaluación de Riesgos'!$B$16:$J$160,9,9)),"",VLOOKUP(A38,'Evaluación de Riesgos'!$B$16:$J$160,9,9))</f>
        <v>3</v>
      </c>
      <c r="M38" s="131">
        <f t="shared" si="5"/>
        <v>1</v>
      </c>
      <c r="N38" s="131">
        <f t="shared" si="4"/>
        <v>1</v>
      </c>
      <c r="O38" s="131"/>
      <c r="P38" s="131"/>
    </row>
    <row r="39" spans="1:16" x14ac:dyDescent="0.2">
      <c r="A39" s="131" t="s">
        <v>388</v>
      </c>
      <c r="B39" s="131" t="str">
        <f t="shared" si="2"/>
        <v>9</v>
      </c>
      <c r="C39" s="131" t="str">
        <f>+MID(VLOOKUP(A39,'Evaluación de Riesgos'!$B$13:$C$160,2,0),4,LEN(VLOOKUP(A39,'Evaluación de Riesgos'!$B$13:$C$160,2,0))-4)</f>
        <v xml:space="preserve"> La Alta Dirección analiza los riesgos asociados a actividades tercerizadas, regionales u otras figuras externas que afecten la prestación del servicio a los usuarios, basados en los informes de la segunda y tercera linea de defensa</v>
      </c>
      <c r="D39" s="131" t="s">
        <v>324</v>
      </c>
      <c r="E39" s="131" t="str">
        <f>+VLOOKUP(A39,'Evaluación de Riesgos'!$B$13:$K$160,3,0)</f>
        <v>Dimension de Control Interno
Lineas de Defensa</v>
      </c>
      <c r="F39" s="131" t="str">
        <f>+VLOOKUP(A39,'Evaluación de Riesgos'!$B$13:$K$160,10,0)</f>
        <v>Mantenimiento del control</v>
      </c>
      <c r="G39" s="131">
        <f>+VLOOKUP(A39,'Evaluación de Riesgos'!$B$13:$O$160,13,0)</f>
        <v>143.01249999999999</v>
      </c>
      <c r="H39" s="133">
        <f t="shared" si="3"/>
        <v>38</v>
      </c>
      <c r="I39" s="131" t="str">
        <f t="shared" si="8"/>
        <v>Cuando en el análisis de los requerimientos en los diferenes componentes del MECI se cuente con aspectos evaluados en nivel 1 (presente) y 1 (funcionando); 2 (presente) y 1 (funcionando).</v>
      </c>
      <c r="J39" s="131" t="s">
        <v>387</v>
      </c>
      <c r="K39" s="131">
        <f>+IF(ISBLANK(VLOOKUP(A39,'Evaluación de Riesgos'!$B$16:$F$160,5,0)),"",VLOOKUP(A39,'Evaluación de Riesgos'!$B$16:$F$160,5,0))</f>
        <v>3</v>
      </c>
      <c r="L39" s="131">
        <f>+IF(ISBLANK(VLOOKUP(A39,'Evaluación de Riesgos'!$B$16:$J$160,9,9)),"",VLOOKUP(A39,'Evaluación de Riesgos'!$B$16:$J$160,9,9))</f>
        <v>3</v>
      </c>
      <c r="M39" s="131">
        <f t="shared" si="5"/>
        <v>1</v>
      </c>
      <c r="N39" s="131">
        <f t="shared" si="4"/>
        <v>1</v>
      </c>
      <c r="O39" s="131"/>
      <c r="P39" s="131"/>
    </row>
    <row r="40" spans="1:16" x14ac:dyDescent="0.2">
      <c r="A40" s="131" t="s">
        <v>389</v>
      </c>
      <c r="B40" s="131" t="str">
        <f t="shared" si="2"/>
        <v>9</v>
      </c>
      <c r="C40" s="131" t="str">
        <f>+MID(VLOOKUP(A40,'Evaluación de Riesgos'!$B$13:$C$160,2,0),4,LEN(VLOOKUP(A40,'Evaluación de Riesgos'!$B$13:$C$160,2,0))-4)</f>
        <v xml:space="preserve"> La Alta Dirección monitorea los riesgos aceptados revisando que sus condiciones no hayan cambiado y definir su pertinencia para sostenerlos o ajustarlos</v>
      </c>
      <c r="D40" s="131" t="s">
        <v>324</v>
      </c>
      <c r="E40" s="131" t="str">
        <f>+VLOOKUP(A40,'Evaluación de Riesgos'!$B$13:$K$160,3,0)</f>
        <v>Dimension de Control Interno
Linea Estrategica</v>
      </c>
      <c r="F40" s="131" t="str">
        <f>+VLOOKUP(A40,'Evaluación de Riesgos'!$B$13:$K$160,10,0)</f>
        <v>Mantenimiento del control</v>
      </c>
      <c r="G40" s="131">
        <f>+VLOOKUP(A40,'Evaluación de Riesgos'!$B$13:$O$160,13,0)</f>
        <v>143.12360000000001</v>
      </c>
      <c r="H40" s="133">
        <f t="shared" si="3"/>
        <v>39</v>
      </c>
      <c r="I40" s="131" t="str">
        <f t="shared" si="8"/>
        <v>Cuando en el análisis de los requerimientos en los diferenes componentes del MECI se cuente con aspectos evaluados en nivel 1 (presente) y 1 (funcionando); 2 (presente) y 1 (funcionando).</v>
      </c>
      <c r="J40" s="131" t="s">
        <v>387</v>
      </c>
      <c r="K40" s="131">
        <f>+IF(ISBLANK(VLOOKUP(A40,'Evaluación de Riesgos'!$B$16:$F$160,5,0)),"",VLOOKUP(A40,'Evaluación de Riesgos'!$B$16:$F$160,5,0))</f>
        <v>3</v>
      </c>
      <c r="L40" s="131">
        <f>+IF(ISBLANK(VLOOKUP(A40,'Evaluación de Riesgos'!$B$16:$J$160,9,9)),"",VLOOKUP(A40,'Evaluación de Riesgos'!$B$16:$J$160,9,9))</f>
        <v>3</v>
      </c>
      <c r="M40" s="131">
        <f t="shared" si="5"/>
        <v>1</v>
      </c>
      <c r="N40" s="131">
        <f t="shared" si="4"/>
        <v>1</v>
      </c>
      <c r="O40" s="131"/>
      <c r="P40" s="131"/>
    </row>
    <row r="41" spans="1:16" x14ac:dyDescent="0.2">
      <c r="A41" s="131" t="s">
        <v>390</v>
      </c>
      <c r="B41" s="131" t="str">
        <f t="shared" si="2"/>
        <v>9</v>
      </c>
      <c r="C41" s="131" t="str">
        <f>+MID(VLOOKUP(A41,'Evaluación de Riesgos'!$B$13:$C$160,2,0),4,LEN(VLOOKUP(A41,'Evaluación de Riesgos'!$B$13:$C$160,2,0))-4)</f>
        <v xml:space="preserve"> La Alta Dirección evalúa fallas en los controles (diseño y ejecución) para definir cursos de acción apropiados para su mejora, basados en los informes de la segunda y tercera linea de defensa</v>
      </c>
      <c r="D41" s="131" t="s">
        <v>324</v>
      </c>
      <c r="E41" s="131" t="str">
        <f>+VLOOKUP(A41,'Evaluación de Riesgos'!$B$13:$K$160,3,0)</f>
        <v>Dimension de Control Interno
Lineas de Defensa</v>
      </c>
      <c r="F41" s="131" t="str">
        <f>+VLOOKUP(A41,'Evaluación de Riesgos'!$B$13:$K$160,10,0)</f>
        <v>Mantenimiento del control</v>
      </c>
      <c r="G41" s="131">
        <f>+VLOOKUP(A41,'Evaluación de Riesgos'!$B$13:$O$160,13,0)</f>
        <v>143.2456</v>
      </c>
      <c r="H41" s="133">
        <f t="shared" si="3"/>
        <v>40</v>
      </c>
      <c r="I41" s="131" t="str">
        <f t="shared" si="8"/>
        <v>Cuando en el análisis de los requerimientos en los diferenes componentes del MECI se cuente con aspectos evaluados en nivel 1 (presente) y 1 (funcionando); 2 (presente) y 1 (funcionando).</v>
      </c>
      <c r="J41" s="131" t="s">
        <v>387</v>
      </c>
      <c r="K41" s="131">
        <f>+IF(ISBLANK(VLOOKUP(A41,'Evaluación de Riesgos'!$B$16:$F$160,5,0)),"",VLOOKUP(A41,'Evaluación de Riesgos'!$B$16:$F$160,5,0))</f>
        <v>3</v>
      </c>
      <c r="L41" s="131">
        <f>+IF(ISBLANK(VLOOKUP(A41,'Evaluación de Riesgos'!$B$16:$J$160,9,9)),"",VLOOKUP(A41,'Evaluación de Riesgos'!$B$16:$J$160,9,9))</f>
        <v>3</v>
      </c>
      <c r="M41" s="131">
        <f t="shared" si="5"/>
        <v>1</v>
      </c>
      <c r="N41" s="131">
        <f t="shared" si="4"/>
        <v>1</v>
      </c>
      <c r="O41" s="131"/>
      <c r="P41" s="131"/>
    </row>
    <row r="42" spans="1:16" x14ac:dyDescent="0.2">
      <c r="A42" s="131" t="s">
        <v>391</v>
      </c>
      <c r="B42" s="131" t="str">
        <f t="shared" si="2"/>
        <v>9</v>
      </c>
      <c r="C42" s="131" t="str">
        <f>+MID(VLOOKUP(A42,'Evaluación de Riesgos'!$B$13:$C$160,2,0),4,LEN(VLOOKUP(A42,'Evaluación de Riesgos'!$B$13:$C$160,2,0))-4)</f>
        <v xml:space="preserve"> La entidad analiza el impacto sobre el control interno por cambios en los diferentes niveles organizacionales</v>
      </c>
      <c r="D42" s="131" t="s">
        <v>324</v>
      </c>
      <c r="E42" s="131" t="str">
        <f>+VLOOKUP(A42,'Evaluación de Riesgos'!$B$13:$K$160,3,0)</f>
        <v>Dimension de Direccionamiento Estrategico y Planeacion
Politica de Planeacion Institucional
Dimension de Control Interno
Linea Estrategica</v>
      </c>
      <c r="F42" s="131" t="str">
        <f>+VLOOKUP(A42,'Evaluación de Riesgos'!$B$13:$K$160,10,0)</f>
        <v>Mantenimiento del control</v>
      </c>
      <c r="G42" s="131">
        <f>+VLOOKUP(A42,'Evaluación de Riesgos'!$B$13:$O$160,13,0)</f>
        <v>143.36539999999999</v>
      </c>
      <c r="H42" s="133">
        <f t="shared" si="3"/>
        <v>41</v>
      </c>
      <c r="I42" s="131" t="str">
        <f t="shared" si="8"/>
        <v>Cuando en el análisis de los requerimientos en los diferenes componentes del MECI se cuente con aspectos evaluados en nivel 1 (presente) y 1 (funcionando); 2 (presente) y 1 (funcionando).</v>
      </c>
      <c r="J42" s="131" t="s">
        <v>387</v>
      </c>
      <c r="K42" s="131">
        <f>+IF(ISBLANK(VLOOKUP(A42,'Evaluación de Riesgos'!$B$16:$F$160,5,0)),"",VLOOKUP(A42,'Evaluación de Riesgos'!$B$16:$F$160,5,0))</f>
        <v>3</v>
      </c>
      <c r="L42" s="131">
        <f>+IF(ISBLANK(VLOOKUP(A42,'Evaluación de Riesgos'!$B$16:$J$160,9,9)),"",VLOOKUP(A42,'Evaluación de Riesgos'!$B$16:$J$160,9,9))</f>
        <v>3</v>
      </c>
      <c r="M42" s="131">
        <f t="shared" si="5"/>
        <v>1</v>
      </c>
      <c r="N42" s="131">
        <f t="shared" si="4"/>
        <v>1</v>
      </c>
      <c r="O42" s="131"/>
      <c r="P42" s="131"/>
    </row>
    <row r="43" spans="1:16" x14ac:dyDescent="0.2">
      <c r="A43" s="131" t="s">
        <v>392</v>
      </c>
      <c r="B43" s="131" t="str">
        <f>+LEFT(A43,2)</f>
        <v>10</v>
      </c>
      <c r="C43" s="131" t="str">
        <f>+MID(VLOOKUP(A43,'Actividades de Control'!$B$13:$C$176,2,0),5,LEN(VLOOKUP(A43,'Actividades de Control'!$B$13:$C$176,2,0))-5)</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D43" s="131" t="s">
        <v>325</v>
      </c>
      <c r="E43" s="131" t="str">
        <f>+VLOOKUP(A43,'Actividades de Control'!$B$18:$K$122,3,0)</f>
        <v>Dimension de Control Interno
Lineas de Defensa</v>
      </c>
      <c r="F43" s="131" t="str">
        <f>+VLOOKUP(A43,'Actividades de Control'!$B$18:$K$122,10,0)</f>
        <v>Mantenimiento del control</v>
      </c>
      <c r="G43" s="131">
        <f>+VLOOKUP(A43,'Actividades de Control'!$B$13:$N$176,13,0)</f>
        <v>223.45689999999999</v>
      </c>
      <c r="H43" s="133">
        <f t="shared" si="3"/>
        <v>44</v>
      </c>
      <c r="I43" s="131" t="str">
        <f t="shared" si="8"/>
        <v>Cuando en el análisis de los requerimientos en los diferenes componentes del MECI se cuente con aspectos evaluados en nivel 1 (presente) y 1 (funcionando); 2 (presente) y 1 (funcionando).</v>
      </c>
      <c r="J43" s="131" t="s">
        <v>393</v>
      </c>
      <c r="K43" s="131">
        <f>+IF(ISBLANK(VLOOKUP(A43,'Actividades de Control'!$B$21:$F$122,5,0)),"",VLOOKUP(A43,'Actividades de Control'!$B$21:$F$122,5,0))</f>
        <v>3</v>
      </c>
      <c r="L43" s="131">
        <f>+IF(ISBLANK(VLOOKUP(A43,'Actividades de Control'!$B$21:$J$122,9,0)),"",VLOOKUP(A43,'Actividades de Control'!$B$21:$J$122,9,0))</f>
        <v>3</v>
      </c>
      <c r="M43" s="131">
        <f t="shared" si="5"/>
        <v>1</v>
      </c>
      <c r="N43" s="131">
        <f t="shared" si="4"/>
        <v>0.91666666666666663</v>
      </c>
      <c r="O43" s="131"/>
      <c r="P43" s="131"/>
    </row>
    <row r="44" spans="1:16" x14ac:dyDescent="0.2">
      <c r="A44" s="131" t="s">
        <v>394</v>
      </c>
      <c r="B44" s="131" t="str">
        <f t="shared" ref="B44:B82" si="9">+LEFT(A44,2)</f>
        <v>10</v>
      </c>
      <c r="C44" s="131" t="str">
        <f>+MID(VLOOKUP(A44,'Actividades de Control'!$B$13:$C$176,2,0),5,LEN(VLOOKUP(A44,'Actividades de Control'!$B$13:$C$176,2,0))-5)</f>
        <v xml:space="preserve"> Se han idenfificado y documentado las situaciones específicas en donde no es posible segregar adecuadamente las funciones (ej: falta de personal, presupuesto), con el fin de definir actividades de control alternativas para cubrir los riesgos identificados.</v>
      </c>
      <c r="D44" s="131" t="s">
        <v>325</v>
      </c>
      <c r="E44" s="131" t="str">
        <f>+VLOOKUP(A44,'Actividades de Control'!$B$18:$K$122,3,0)</f>
        <v>Dimension de Control Interno
Lineas de Defensa</v>
      </c>
      <c r="F44" s="131" t="str">
        <f>+VLOOKUP(A44,'Actividades de Control'!$B$18:$K$122,10,0)</f>
        <v>Deficiencia de control (diseño o ejecución)</v>
      </c>
      <c r="G44" s="131">
        <f>+VLOOKUP(A44,'Actividades de Control'!$B$13:$N$176,13,0)</f>
        <v>183.5478</v>
      </c>
      <c r="H44" s="133">
        <f t="shared" si="3"/>
        <v>42</v>
      </c>
      <c r="I44" s="131" t="str">
        <f t="shared" si="8"/>
        <v>Cuando en el análisis de los requerimientos en los diferenes componentes del MECI se cuente con aspectos evaluados en nivel 2 (presente) y 2 (funcionando); 3 (presente) y 1 (funcionando); 3 (presente) y 2 (funcionando).</v>
      </c>
      <c r="J44" s="131" t="s">
        <v>393</v>
      </c>
      <c r="K44" s="131">
        <f>+IF(ISBLANK(VLOOKUP(A44,'Actividades de Control'!$B$21:$F$122,5,0)),"",VLOOKUP(A44,'Actividades de Control'!$B$21:$F$122,5,0))</f>
        <v>3</v>
      </c>
      <c r="L44" s="131">
        <f>+IF(ISBLANK(VLOOKUP(A44,'Actividades de Control'!$B$21:$J$122,9,0)),"",VLOOKUP(A44,'Actividades de Control'!$B$21:$J$122,9,0))</f>
        <v>2</v>
      </c>
      <c r="M44" s="131">
        <f t="shared" si="5"/>
        <v>0.5</v>
      </c>
      <c r="N44" s="131">
        <f t="shared" si="4"/>
        <v>0.91666666666666663</v>
      </c>
      <c r="O44" s="131"/>
      <c r="P44" s="131"/>
    </row>
    <row r="45" spans="1:16" x14ac:dyDescent="0.2">
      <c r="A45" s="131" t="s">
        <v>395</v>
      </c>
      <c r="B45" s="131" t="str">
        <f t="shared" si="9"/>
        <v>10</v>
      </c>
      <c r="C45" s="131" t="str">
        <f>+MID(VLOOKUP(A45,'Actividades de Control'!$B$13:$C$176,2,0),5,LEN(VLOOKUP(A45,'Actividades de Control'!$B$13:$C$176,2,0))-5)</f>
        <v xml:space="preserve"> El diseño de otros  sistemas de gestión (bajo normas o estándares internacionales como la ISO), se intregan de forma adecuada a la estructura de control de la entidad</v>
      </c>
      <c r="D45" s="131" t="s">
        <v>325</v>
      </c>
      <c r="E45" s="131" t="str">
        <f>+VLOOKUP(A45,'Actividades de Control'!$B$18:$K$122,3,0)</f>
        <v xml:space="preserve">
Dimension de Gestion con Valores para Resultados
Dimension de Control Interno
Lineas de Defensa</v>
      </c>
      <c r="F45" s="131" t="str">
        <f>+VLOOKUP(A45,'Actividades de Control'!$B$18:$K$122,10,0)</f>
        <v>Mantenimiento del control</v>
      </c>
      <c r="G45" s="131">
        <f>+VLOOKUP(A45,'Actividades de Control'!$B$13:$N$176,13,0)</f>
        <v>223.64580000000001</v>
      </c>
      <c r="H45" s="133">
        <f t="shared" si="3"/>
        <v>45</v>
      </c>
      <c r="I45" s="131" t="str">
        <f t="shared" si="8"/>
        <v>Cuando en el análisis de los requerimientos en los diferenes componentes del MECI se cuente con aspectos evaluados en nivel 1 (presente) y 1 (funcionando); 2 (presente) y 1 (funcionando).</v>
      </c>
      <c r="J45" s="131" t="s">
        <v>393</v>
      </c>
      <c r="K45" s="131">
        <f>+IF(ISBLANK(VLOOKUP(A45,'Actividades de Control'!$B$21:$F$122,5,0)),"",VLOOKUP(A45,'Actividades de Control'!$B$21:$F$122,5,0))</f>
        <v>3</v>
      </c>
      <c r="L45" s="131">
        <f>+IF(ISBLANK(VLOOKUP(A45,'Actividades de Control'!$B$21:$J$122,9,0)),"",VLOOKUP(A45,'Actividades de Control'!$B$21:$J$122,9,0))</f>
        <v>3</v>
      </c>
      <c r="M45" s="131">
        <f t="shared" si="5"/>
        <v>1</v>
      </c>
      <c r="N45" s="131">
        <f t="shared" si="4"/>
        <v>0.91666666666666663</v>
      </c>
      <c r="O45" s="131"/>
      <c r="P45" s="131"/>
    </row>
    <row r="46" spans="1:16" x14ac:dyDescent="0.2">
      <c r="A46" s="131" t="s">
        <v>396</v>
      </c>
      <c r="B46" s="131" t="str">
        <f t="shared" si="9"/>
        <v>11</v>
      </c>
      <c r="C46" s="131" t="str">
        <f>+MID(VLOOKUP(A46,'Actividades de Control'!$B$13:$C$176,2,0),5,LEN(VLOOKUP(A46,'Actividades de Control'!$B$13:$C$176,2,0))-5)</f>
        <v xml:space="preserve"> La entidad establece actividades de control relevantes sobre las infraestructuras tecnológicas; los procesos de gestión de la seguridad y sobre los procesos de adquisición, desarrollo y mantenimiento de tecnologías</v>
      </c>
      <c r="D46" s="131" t="s">
        <v>325</v>
      </c>
      <c r="E46" s="131" t="str">
        <f>+VLOOKUP(A46,'Actividades de Control'!$B$18:$K$122,3,0)</f>
        <v xml:space="preserve">Dimension de Gestion con Valores para el Resultado
Politica de Gobierno Digital 
Politica de Seguridad Digital
</v>
      </c>
      <c r="F46" s="131" t="str">
        <f>+VLOOKUP(A46,'Actividades de Control'!$B$18:$K$122,10,0)</f>
        <v>Mantenimiento del control</v>
      </c>
      <c r="G46" s="131">
        <f>+VLOOKUP(A46,'Actividades de Control'!$B$13:$N$176,13,0)</f>
        <v>223.78960000000001</v>
      </c>
      <c r="H46" s="133">
        <f t="shared" si="3"/>
        <v>46</v>
      </c>
      <c r="I46" s="131" t="str">
        <f t="shared" si="8"/>
        <v>Cuando en el análisis de los requerimientos en los diferenes componentes del MECI se cuente con aspectos evaluados en nivel 1 (presente) y 1 (funcionando); 2 (presente) y 1 (funcionando).</v>
      </c>
      <c r="J46" s="131" t="s">
        <v>397</v>
      </c>
      <c r="K46" s="131">
        <f>+IF(ISBLANK(VLOOKUP(A46,'Actividades de Control'!$B$21:$F$122,5,0)),"",VLOOKUP(A46,'Actividades de Control'!$B$21:$F$122,5,0))</f>
        <v>3</v>
      </c>
      <c r="L46" s="131">
        <f>+IF(ISBLANK(VLOOKUP(A46,'Actividades de Control'!$B$21:$J$122,9,0)),"",VLOOKUP(A46,'Actividades de Control'!$B$21:$J$122,9,0))</f>
        <v>3</v>
      </c>
      <c r="M46" s="131">
        <f t="shared" si="5"/>
        <v>1</v>
      </c>
      <c r="N46" s="131">
        <f t="shared" si="4"/>
        <v>0.91666666666666663</v>
      </c>
      <c r="O46" s="131"/>
      <c r="P46" s="131"/>
    </row>
    <row r="47" spans="1:16" x14ac:dyDescent="0.2">
      <c r="A47" s="131" t="s">
        <v>398</v>
      </c>
      <c r="B47" s="131" t="str">
        <f t="shared" si="9"/>
        <v>11</v>
      </c>
      <c r="C47" s="131" t="str">
        <f>+MID(VLOOKUP(A47,'Actividades de Control'!$B$13:$C$176,2,0),5,LEN(VLOOKUP(A47,'Actividades de Control'!$B$13:$C$176,2,0))-5)</f>
        <v xml:space="preserve">  Para los proveedores de tecnología  selecciona y desarrolla actividades de control internas sobre las actividades realizadas por el proveedor de servicios</v>
      </c>
      <c r="D47" s="131" t="s">
        <v>325</v>
      </c>
      <c r="E47" s="131" t="str">
        <f>+VLOOKUP(A47,'Actividades de Control'!$B$18:$K$122,3,0)</f>
        <v xml:space="preserve">Dimension de Gestion con Valores para el Resultado
Politica de Gobierno Digital 
Politica de Seguridad Digital
</v>
      </c>
      <c r="F47" s="131" t="str">
        <f>+VLOOKUP(A47,'Actividades de Control'!$B$18:$K$122,10,0)</f>
        <v>Deficiencia de control (diseño o ejecución)</v>
      </c>
      <c r="G47" s="131">
        <f>+VLOOKUP(A47,'Actividades de Control'!$B$13:$N$176,13,0)</f>
        <v>183.84559999999999</v>
      </c>
      <c r="H47" s="133">
        <f t="shared" si="3"/>
        <v>43</v>
      </c>
      <c r="I47" s="131" t="str">
        <f t="shared" si="8"/>
        <v>Cuando en el análisis de los requerimientos en los diferenes componentes del MECI se cuente con aspectos evaluados en nivel 2 (presente) y 2 (funcionando); 3 (presente) y 1 (funcionando); 3 (presente) y 2 (funcionando).</v>
      </c>
      <c r="J47" s="131" t="s">
        <v>397</v>
      </c>
      <c r="K47" s="131">
        <f>+IF(ISBLANK(VLOOKUP(A47,'Actividades de Control'!$B$21:$F$122,5,0)),"",VLOOKUP(A47,'Actividades de Control'!$B$21:$F$122,5,0))</f>
        <v>3</v>
      </c>
      <c r="L47" s="131">
        <f>+IF(ISBLANK(VLOOKUP(A47,'Actividades de Control'!$B$21:$J$122,9,0)),"",VLOOKUP(A47,'Actividades de Control'!$B$21:$J$122,9,0))</f>
        <v>2</v>
      </c>
      <c r="M47" s="131">
        <f t="shared" si="5"/>
        <v>0.5</v>
      </c>
      <c r="N47" s="131">
        <f t="shared" si="4"/>
        <v>0.91666666666666663</v>
      </c>
      <c r="O47" s="131"/>
      <c r="P47" s="131"/>
    </row>
    <row r="48" spans="1:16" x14ac:dyDescent="0.2">
      <c r="A48" s="131" t="s">
        <v>399</v>
      </c>
      <c r="B48" s="131" t="str">
        <f t="shared" si="9"/>
        <v>11</v>
      </c>
      <c r="C48" s="131" t="str">
        <f>+MID(VLOOKUP(A48,'Actividades de Control'!$B$13:$C$176,2,0),5,LEN(VLOOKUP(A48,'Actividades de Control'!$B$13:$C$176,2,0))-5)</f>
        <v xml:space="preserve"> Se cuenta con matrices de roles y usuarios siguiendo los principios de segregación de funciones.</v>
      </c>
      <c r="D48" s="131" t="s">
        <v>325</v>
      </c>
      <c r="E48" s="131" t="str">
        <f>+VLOOKUP(A48,'Actividades de Control'!$B$18:$K$122,3,0)</f>
        <v xml:space="preserve">Dimension de Gestion con Valores para el Resultado
Politica de Fortalecimiento Organizacional y Simplificacion de Procesos.
</v>
      </c>
      <c r="F48" s="131" t="str">
        <f>+VLOOKUP(A48,'Actividades de Control'!$B$18:$K$122,10,0)</f>
        <v>Mantenimiento del control</v>
      </c>
      <c r="G48" s="131">
        <f>+VLOOKUP(A48,'Actividades de Control'!$B$13:$N$176,13,0)</f>
        <v>223.96539999999999</v>
      </c>
      <c r="H48" s="133">
        <f t="shared" si="3"/>
        <v>47</v>
      </c>
      <c r="I48" s="131" t="str">
        <f t="shared" si="8"/>
        <v>Cuando en el análisis de los requerimientos en los diferenes componentes del MECI se cuente con aspectos evaluados en nivel 1 (presente) y 1 (funcionando); 2 (presente) y 1 (funcionando).</v>
      </c>
      <c r="J48" s="131" t="s">
        <v>397</v>
      </c>
      <c r="K48" s="131">
        <f>+IF(ISBLANK(VLOOKUP(A48,'Actividades de Control'!$B$21:$F$122,5,0)),"",VLOOKUP(A48,'Actividades de Control'!$B$21:$F$122,5,0))</f>
        <v>3</v>
      </c>
      <c r="L48" s="131">
        <f>+IF(ISBLANK(VLOOKUP(A48,'Actividades de Control'!$B$21:$J$122,9,0)),"",VLOOKUP(A48,'Actividades de Control'!$B$21:$J$122,9,0))</f>
        <v>3</v>
      </c>
      <c r="M48" s="131">
        <f t="shared" si="5"/>
        <v>1</v>
      </c>
      <c r="N48" s="131">
        <f t="shared" si="4"/>
        <v>0.91666666666666663</v>
      </c>
      <c r="O48" s="131"/>
      <c r="P48" s="131"/>
    </row>
    <row r="49" spans="1:16" x14ac:dyDescent="0.2">
      <c r="A49" s="131" t="s">
        <v>400</v>
      </c>
      <c r="B49" s="131" t="str">
        <f t="shared" si="9"/>
        <v>11</v>
      </c>
      <c r="C49" s="131" t="str">
        <f>+MID(VLOOKUP(A49,'Actividades de Control'!$B$13:$C$176,2,0),5,LEN(VLOOKUP(A49,'Actividades de Control'!$B$13:$C$176,2,0))-5)</f>
        <v xml:space="preserve"> Se cuenta con información de la 3a línea de defensa, como evaluador independiente en relación con los controles implementados por el proveedor de servicios, para  asegurar que los riesgos relacionados se mitigan.</v>
      </c>
      <c r="D49" s="131" t="s">
        <v>325</v>
      </c>
      <c r="E49" s="131" t="str">
        <f>+VLOOKUP(A49,'Actividades de Control'!$B$18:$K$122,3,0)</f>
        <v>Dimension Control Interno
Tercera Linea de Defensa</v>
      </c>
      <c r="F49" s="131" t="str">
        <f>+VLOOKUP(A49,'Actividades de Control'!$B$18:$K$122,10,0)</f>
        <v>Mantenimiento del control</v>
      </c>
      <c r="G49" s="131">
        <f>+VLOOKUP(A49,'Actividades de Control'!$B$13:$N$176,13,0)</f>
        <v>224.01230000000001</v>
      </c>
      <c r="H49" s="133">
        <f t="shared" si="3"/>
        <v>48</v>
      </c>
      <c r="I49" s="131" t="str">
        <f t="shared" si="8"/>
        <v>Cuando en el análisis de los requerimientos en los diferenes componentes del MECI se cuente con aspectos evaluados en nivel 1 (presente) y 1 (funcionando); 2 (presente) y 1 (funcionando).</v>
      </c>
      <c r="J49" s="131" t="s">
        <v>397</v>
      </c>
      <c r="K49" s="131">
        <f>+IF(ISBLANK(VLOOKUP(A49,'Actividades de Control'!$B$21:$F$122,5,0)),"",VLOOKUP(A49,'Actividades de Control'!$B$21:$F$122,5,0))</f>
        <v>3</v>
      </c>
      <c r="L49" s="131">
        <f>+IF(ISBLANK(VLOOKUP(A49,'Actividades de Control'!$B$21:$J$122,9,0)),"",VLOOKUP(A49,'Actividades de Control'!$B$21:$J$122,9,0))</f>
        <v>3</v>
      </c>
      <c r="M49" s="131">
        <f t="shared" si="5"/>
        <v>1</v>
      </c>
      <c r="N49" s="131">
        <f t="shared" si="4"/>
        <v>0.91666666666666663</v>
      </c>
      <c r="O49" s="131"/>
      <c r="P49" s="131"/>
    </row>
    <row r="50" spans="1:16" x14ac:dyDescent="0.2">
      <c r="A50" s="131" t="s">
        <v>401</v>
      </c>
      <c r="B50" s="131" t="str">
        <f t="shared" si="9"/>
        <v>12</v>
      </c>
      <c r="C50" s="131" t="str">
        <f>+MID(VLOOKUP(A50,'Actividades de Control'!$B$13:$C$176,2,0),5,LEN(VLOOKUP(A50,'Actividades de Control'!$B$13:$C$176,2,0))-5)</f>
        <v xml:space="preserve"> Se evalúa la actualización de procesos, procedimientos, políticas de operación, instructivos, manuales u otras herramientas para garantizar la aplicación adecuada de las principales actividades de control.
</v>
      </c>
      <c r="D50" s="131" t="s">
        <v>325</v>
      </c>
      <c r="E50" s="131" t="str">
        <f>+VLOOKUP(A50,'Actividades de Control'!$B$18:$K$122,3,0)</f>
        <v>Dimension de Gestion con Valores para el Resultado
Politica de Fortalecimiento Organizacional y Simplificacion de Procesos.</v>
      </c>
      <c r="F50" s="131" t="str">
        <f>+VLOOKUP(A50,'Actividades de Control'!$B$18:$K$122,10,0)</f>
        <v>Mantenimiento del control</v>
      </c>
      <c r="G50" s="131">
        <f>+VLOOKUP(A50,'Actividades de Control'!$B$13:$N$176,13,0)</f>
        <v>224.12360000000001</v>
      </c>
      <c r="H50" s="133">
        <f t="shared" si="3"/>
        <v>49</v>
      </c>
      <c r="I50" s="131" t="str">
        <f t="shared" si="8"/>
        <v>Cuando en el análisis de los requerimientos en los diferenes componentes del MECI se cuente con aspectos evaluados en nivel 1 (presente) y 1 (funcionando); 2 (presente) y 1 (funcionando).</v>
      </c>
      <c r="J50" s="131" t="s">
        <v>402</v>
      </c>
      <c r="K50" s="131">
        <f>+IF(ISBLANK(VLOOKUP(A50,'Actividades de Control'!$B$21:$F$122,5,0)),"",VLOOKUP(A50,'Actividades de Control'!$B$21:$F$122,5,0))</f>
        <v>3</v>
      </c>
      <c r="L50" s="131">
        <f>+IF(ISBLANK(VLOOKUP(A50,'Actividades de Control'!$B$21:$J$122,9,0)),"",VLOOKUP(A50,'Actividades de Control'!$B$21:$J$122,9,0))</f>
        <v>3</v>
      </c>
      <c r="M50" s="131">
        <f t="shared" si="5"/>
        <v>1</v>
      </c>
      <c r="N50" s="131">
        <f t="shared" si="4"/>
        <v>0.91666666666666663</v>
      </c>
      <c r="O50" s="131"/>
      <c r="P50" s="131"/>
    </row>
    <row r="51" spans="1:16" x14ac:dyDescent="0.2">
      <c r="A51" s="131" t="s">
        <v>403</v>
      </c>
      <c r="B51" s="131" t="str">
        <f t="shared" si="9"/>
        <v>12</v>
      </c>
      <c r="C51" s="131" t="str">
        <f>+MID(VLOOKUP(A51,'Actividades de Control'!$B$13:$C$176,2,0),6,LEN(VLOOKUP(A51,'Actividades de Control'!$B$13:$C$176,2,0))-6)</f>
        <v xml:space="preserve"> El diseño de controles se evalúa frente a la gestión del riesgo</v>
      </c>
      <c r="D51" s="131" t="s">
        <v>325</v>
      </c>
      <c r="E51" s="131" t="str">
        <f>+VLOOKUP(A51,'Actividades de Control'!$B$18:$K$122,3,0)</f>
        <v xml:space="preserve">Todas las Dimensiones de MIPG 
</v>
      </c>
      <c r="F51" s="131" t="str">
        <f>+VLOOKUP(A51,'Actividades de Control'!$B$18:$K$122,10,0)</f>
        <v>Mantenimiento del control</v>
      </c>
      <c r="G51" s="131">
        <f>+VLOOKUP(A51,'Actividades de Control'!$B$13:$N$176,13,0)</f>
        <v>224.23650000000001</v>
      </c>
      <c r="H51" s="133">
        <f t="shared" si="3"/>
        <v>50</v>
      </c>
      <c r="I51" s="131" t="str">
        <f t="shared" si="8"/>
        <v>Cuando en el análisis de los requerimientos en los diferenes componentes del MECI se cuente con aspectos evaluados en nivel 1 (presente) y 1 (funcionando); 2 (presente) y 1 (funcionando).</v>
      </c>
      <c r="J51" s="131" t="s">
        <v>402</v>
      </c>
      <c r="K51" s="131">
        <f>+IF(ISBLANK(VLOOKUP(A51,'Actividades de Control'!$B$21:$F$122,5,0)),"",VLOOKUP(A51,'Actividades de Control'!$B$21:$F$122,5,0))</f>
        <v>3</v>
      </c>
      <c r="L51" s="131">
        <f>+IF(ISBLANK(VLOOKUP(A51,'Actividades de Control'!$B$21:$J$122,9,0)),"",VLOOKUP(A51,'Actividades de Control'!$B$21:$J$122,9,0))</f>
        <v>3</v>
      </c>
      <c r="M51" s="131">
        <f t="shared" si="5"/>
        <v>1</v>
      </c>
      <c r="N51" s="131">
        <f t="shared" si="4"/>
        <v>0.91666666666666663</v>
      </c>
      <c r="O51" s="131"/>
      <c r="P51" s="131"/>
    </row>
    <row r="52" spans="1:16" x14ac:dyDescent="0.2">
      <c r="A52" s="131" t="s">
        <v>404</v>
      </c>
      <c r="B52" s="131" t="str">
        <f t="shared" si="9"/>
        <v>12</v>
      </c>
      <c r="C52" s="131" t="str">
        <f>+MID(VLOOKUP(A52,'Actividades de Control'!$B$13:$C$176,2,0),6,LEN(VLOOKUP(A52,'Actividades de Control'!$B$13:$C$176,2,0))-6)</f>
        <v xml:space="preserve"> Monitoreo a los riesgos acorde con la política de administración de riesgo establecida para la entidad.</v>
      </c>
      <c r="D52" s="131" t="s">
        <v>325</v>
      </c>
      <c r="E52" s="131" t="str">
        <f>+VLOOKUP(A52,'Actividades de Control'!$B$18:$K$122,3,0)</f>
        <v>Dimension de Direccionamiento Estrategico y Planeacion
Politica de Planeacion Institucional.</v>
      </c>
      <c r="F52" s="131" t="str">
        <f>+VLOOKUP(A52,'Actividades de Control'!$B$18:$K$122,10,0)</f>
        <v>Mantenimiento del control</v>
      </c>
      <c r="G52" s="131">
        <f>+VLOOKUP(A52,'Actividades de Control'!$B$13:$N$176,13,0)</f>
        <v>224.23656</v>
      </c>
      <c r="H52" s="133">
        <f t="shared" si="3"/>
        <v>51</v>
      </c>
      <c r="I52" s="131" t="str">
        <f t="shared" si="8"/>
        <v>Cuando en el análisis de los requerimientos en los diferenes componentes del MECI se cuente con aspectos evaluados en nivel 1 (presente) y 1 (funcionando); 2 (presente) y 1 (funcionando).</v>
      </c>
      <c r="J52" s="131" t="s">
        <v>402</v>
      </c>
      <c r="K52" s="131">
        <f>+IF(ISBLANK(VLOOKUP(A52,'Actividades de Control'!$B$21:$F$122,5,0)),"",VLOOKUP(A52,'Actividades de Control'!$B$21:$F$122,5,0))</f>
        <v>3</v>
      </c>
      <c r="L52" s="131">
        <f>+IF(ISBLANK(VLOOKUP(A52,'Actividades de Control'!$B$21:$J$122,9,0)),"",VLOOKUP(A52,'Actividades de Control'!$B$21:$J$122,9,0))</f>
        <v>3</v>
      </c>
      <c r="M52" s="131">
        <f t="shared" si="5"/>
        <v>1</v>
      </c>
      <c r="N52" s="131">
        <f t="shared" si="4"/>
        <v>0.91666666666666663</v>
      </c>
      <c r="O52" s="131"/>
      <c r="P52" s="131"/>
    </row>
    <row r="53" spans="1:16" x14ac:dyDescent="0.2">
      <c r="A53" s="131" t="s">
        <v>405</v>
      </c>
      <c r="B53" s="131" t="str">
        <f t="shared" si="9"/>
        <v>12</v>
      </c>
      <c r="C53" s="131" t="str">
        <f>+MID(VLOOKUP(A53,'Actividades de Control'!$B$13:$C$176,2,0),6,LEN(VLOOKUP(A53,'Actividades de Control'!$B$13:$C$176,2,0))-6)</f>
        <v>Verificación de que los responsables estén ejecutando los controles tal como han sido diseñados</v>
      </c>
      <c r="D53" s="131" t="s">
        <v>325</v>
      </c>
      <c r="E53" s="131" t="str">
        <f>+VLOOKUP(A53,'Actividades de Control'!$B$18:$K$122,3,0)</f>
        <v>Dimension Control Interno
Segunda Linea de Defensa</v>
      </c>
      <c r="F53" s="131" t="str">
        <f>+VLOOKUP(A53,'Actividades de Control'!$B$18:$K$122,10,0)</f>
        <v>Mantenimiento del control</v>
      </c>
      <c r="G53" s="131">
        <f>+VLOOKUP(A53,'Actividades de Control'!$B$13:$N$176,13,0)</f>
        <v>224.23656800000001</v>
      </c>
      <c r="H53" s="133">
        <f t="shared" ref="H53" si="10">+_xlfn.RANK.EQ(G53,$G$2:$G$82,1)</f>
        <v>52</v>
      </c>
      <c r="I53" s="131" t="str">
        <f t="shared" si="8"/>
        <v>Cuando en el análisis de los requerimientos en los diferenes componentes del MECI se cuente con aspectos evaluados en nivel 1 (presente) y 1 (funcionando); 2 (presente) y 1 (funcionando).</v>
      </c>
      <c r="J53" s="131" t="s">
        <v>402</v>
      </c>
      <c r="K53" s="131">
        <f>+IF(ISBLANK(VLOOKUP(A53,'Actividades de Control'!$B$21:$F$122,5,0)),"",VLOOKUP(A53,'Actividades de Control'!$B$21:$F$122,5,0))</f>
        <v>3</v>
      </c>
      <c r="L53" s="131">
        <f>+IF(ISBLANK(VLOOKUP(A53,'Actividades de Control'!$B$21:$J$122,9,0)),"",VLOOKUP(A53,'Actividades de Control'!$B$21:$J$122,9,0))</f>
        <v>3</v>
      </c>
      <c r="M53" s="131">
        <f t="shared" si="5"/>
        <v>1</v>
      </c>
      <c r="N53" s="131">
        <f t="shared" ref="N53" si="11">+AVERAGEIF($D$2:$D$82,D53,$M$2:$M$82)</f>
        <v>0.91666666666666663</v>
      </c>
      <c r="O53" s="131"/>
      <c r="P53" s="131"/>
    </row>
    <row r="54" spans="1:16" x14ac:dyDescent="0.2">
      <c r="A54" s="131" t="s">
        <v>406</v>
      </c>
      <c r="B54" s="131" t="str">
        <f t="shared" si="9"/>
        <v>12</v>
      </c>
      <c r="C54" s="131" t="str">
        <f>+MID(VLOOKUP(A54,'Actividades de Control'!$B$13:$C$176,2,0),6,LEN(VLOOKUP(A54,'Actividades de Control'!$B$13:$C$176,2,0))-6)</f>
        <v xml:space="preserve"> Se evalúa la adecuación de los controles a las especificidades de cada proceso, considerando cambios en regulaciones, estructuras internas u otros aspectos que determinen cambios en su diseño</v>
      </c>
      <c r="D54" s="131" t="s">
        <v>325</v>
      </c>
      <c r="E54" s="131" t="str">
        <f>+VLOOKUP(A54,'Actividades de Control'!$B$18:$K$122,3,0)</f>
        <v>Dimension Control Interno
 Lineas de Defensa</v>
      </c>
      <c r="F54" s="131" t="str">
        <f>+VLOOKUP(A54,'Actividades de Control'!$B$18:$K$122,10,0)</f>
        <v>Mantenimiento del control</v>
      </c>
      <c r="G54" s="131">
        <f>+VLOOKUP(A54,'Actividades de Control'!$B$13:$N$176,13,0)</f>
        <v>224.3569</v>
      </c>
      <c r="H54" s="133">
        <f t="shared" ref="H54" si="12">+_xlfn.RANK.EQ(G54,$G$2:$G$82,1)</f>
        <v>53</v>
      </c>
      <c r="I54" s="131" t="str">
        <f t="shared" si="8"/>
        <v>Cuando en el análisis de los requerimientos en los diferenes componentes del MECI se cuente con aspectos evaluados en nivel 1 (presente) y 1 (funcionando); 2 (presente) y 1 (funcionando).</v>
      </c>
      <c r="J54" s="131" t="s">
        <v>402</v>
      </c>
      <c r="K54" s="131">
        <f>+IF(ISBLANK(VLOOKUP(A54,'Actividades de Control'!$B$21:$F$122,5,0)),"",VLOOKUP(A54,'Actividades de Control'!$B$21:$F$122,5,0))</f>
        <v>3</v>
      </c>
      <c r="L54" s="131">
        <f>+IF(ISBLANK(VLOOKUP(A54,'Actividades de Control'!$B$21:$J$122,9,0)),"",VLOOKUP(A54,'Actividades de Control'!$B$21:$J$122,9,0))</f>
        <v>3</v>
      </c>
      <c r="M54" s="131">
        <f t="shared" si="5"/>
        <v>1</v>
      </c>
      <c r="N54" s="131">
        <f t="shared" ref="N54" si="13">+AVERAGEIF($D$2:$D$82,D54,$M$2:$M$82)</f>
        <v>0.91666666666666663</v>
      </c>
      <c r="O54" s="131"/>
      <c r="P54" s="131"/>
    </row>
    <row r="55" spans="1:16" ht="12.75" customHeight="1" x14ac:dyDescent="0.2">
      <c r="A55" s="131" t="s">
        <v>407</v>
      </c>
      <c r="B55" s="131" t="str">
        <f t="shared" si="9"/>
        <v>13</v>
      </c>
      <c r="C55" s="131" t="str">
        <f>+MID(VLOOKUP(A55,'Info y Comunicación'!$B$13:$C$160,2,0),6,LEN(VLOOKUP(A55,'Info y Comunicación'!$B$13:$C$160,2,0))-6)</f>
        <v>La entidad ha diseñado sistemas de información para capturar y procesar datos y transformarlos en información para alcanzar los requerimientos de información definidos</v>
      </c>
      <c r="D55" s="131" t="s">
        <v>408</v>
      </c>
      <c r="E55" s="131" t="str">
        <f>+VLOOKUP(A55,'Info y Comunicación'!$B$15:$K$138,3,0)</f>
        <v xml:space="preserve">Dimension de Informacion y comunicación 
</v>
      </c>
      <c r="F55" s="131" t="str">
        <f>+VLOOKUP(A55,'Info y Comunicación'!$B$15:$K$138,10,0)</f>
        <v>Mantenimiento del control</v>
      </c>
      <c r="G55" s="131">
        <f>+VLOOKUP(A55,'Info y Comunicación'!$B$13:$N$160,13,0)</f>
        <v>304.45690000000002</v>
      </c>
      <c r="H55" s="133">
        <f t="shared" si="3"/>
        <v>54</v>
      </c>
      <c r="I55" s="131" t="str">
        <f t="shared" si="8"/>
        <v>Cuando en el análisis de los requerimientos en los diferenes componentes del MECI se cuente con aspectos evaluados en nivel 1 (presente) y 1 (funcionando); 2 (presente) y 1 (funcionando).</v>
      </c>
      <c r="J55" s="131" t="s">
        <v>409</v>
      </c>
      <c r="K55" s="131">
        <f>+IF(ISBLANK(VLOOKUP(A55,'Info y Comunicación'!$B$19:$F$138,5,0)),"",VLOOKUP(A55,'Info y Comunicación'!$B$19:$F$138,5,0))</f>
        <v>3</v>
      </c>
      <c r="L55" s="131">
        <f>+IF(ISBLANK(VLOOKUP(A55,'Info y Comunicación'!$B$19:$J$138,9,0)),"",VLOOKUP(A55,'Info y Comunicación'!$B$19:$J$138,9,0))</f>
        <v>3</v>
      </c>
      <c r="M55" s="131">
        <f t="shared" si="5"/>
        <v>1</v>
      </c>
      <c r="N55" s="131">
        <f>+AVERAGEIF($D$2:$D$82,D55,$M$2:$M$82)</f>
        <v>1</v>
      </c>
      <c r="O55" s="131"/>
      <c r="P55" s="131"/>
    </row>
    <row r="56" spans="1:16" ht="12.75" customHeight="1" x14ac:dyDescent="0.2">
      <c r="A56" s="131" t="s">
        <v>410</v>
      </c>
      <c r="B56" s="131" t="str">
        <f t="shared" si="9"/>
        <v>13</v>
      </c>
      <c r="C56" s="131" t="str">
        <f>+MID(VLOOKUP(A56,'Info y Comunicación'!$B$13:$C$160,2,0),6,LEN(VLOOKUP(A56,'Info y Comunicación'!$B$13:$C$160,2,0))-6)</f>
        <v xml:space="preserve"> La entidad cuenta con el inventario de información relevante (interno/externa) y cuenta con un mecanismo que permita su actualización</v>
      </c>
      <c r="D56" s="131" t="s">
        <v>408</v>
      </c>
      <c r="E56" s="131" t="str">
        <f>+VLOOKUP(A56,'Info y Comunicación'!$B$15:$K$138,3,0)</f>
        <v>Dimension de Informacion y comunicación 
Politica de Transparencia y Acceso a la Informaciòn Publica</v>
      </c>
      <c r="F56" s="131" t="str">
        <f>+VLOOKUP(A56,'Info y Comunicación'!$B$15:$K$138,10,0)</f>
        <v>Mantenimiento del control</v>
      </c>
      <c r="G56" s="131">
        <f>+VLOOKUP(A56,'Info y Comunicación'!$B$13:$N$160,13,0)</f>
        <v>304.56319999999999</v>
      </c>
      <c r="H56" s="133">
        <f t="shared" si="3"/>
        <v>55</v>
      </c>
      <c r="I56" s="131" t="str">
        <f t="shared" si="8"/>
        <v>Cuando en el análisis de los requerimientos en los diferenes componentes del MECI se cuente con aspectos evaluados en nivel 1 (presente) y 1 (funcionando); 2 (presente) y 1 (funcionando).</v>
      </c>
      <c r="J56" s="131" t="s">
        <v>409</v>
      </c>
      <c r="K56" s="131">
        <f>+IF(ISBLANK(VLOOKUP(A56,'Info y Comunicación'!$B$19:$F$138,5,0)),"",VLOOKUP(A56,'Info y Comunicación'!$B$19:$F$138,5,0))</f>
        <v>3</v>
      </c>
      <c r="L56" s="131">
        <f>+IF(ISBLANK(VLOOKUP(A56,'Info y Comunicación'!$B$19:$J$138,9,0)),"",VLOOKUP(A56,'Info y Comunicación'!$B$19:$J$138,9,0))</f>
        <v>3</v>
      </c>
      <c r="M56" s="131">
        <f t="shared" si="5"/>
        <v>1</v>
      </c>
      <c r="N56" s="131">
        <f t="shared" si="4"/>
        <v>1</v>
      </c>
      <c r="O56" s="131"/>
      <c r="P56" s="131"/>
    </row>
    <row r="57" spans="1:16" ht="12.75" customHeight="1" x14ac:dyDescent="0.2">
      <c r="A57" s="131" t="s">
        <v>411</v>
      </c>
      <c r="B57" s="131" t="str">
        <f t="shared" si="9"/>
        <v>13</v>
      </c>
      <c r="C57" s="131" t="str">
        <f>+MID(VLOOKUP(A57,'Info y Comunicación'!$B$13:$C$160,2,0),6,LEN(VLOOKUP(A57,'Info y Comunicación'!$B$13:$C$160,2,0))-6)</f>
        <v>La entidad considera un ámbito amplio de fuentes de datos (internas y externas), para la captura y procesamiento posterior de información clave para la consecución de metas y objetivos</v>
      </c>
      <c r="D57" s="131" t="s">
        <v>408</v>
      </c>
      <c r="E57" s="131" t="str">
        <f>+VLOOKUP(A57,'Info y Comunicación'!$B$15:$K$138,3,0)</f>
        <v>Dimension de Informacion y comunicación 
Politica de Transparencia y Acceso a la Informaciòn Publica</v>
      </c>
      <c r="F57" s="131" t="str">
        <f>+VLOOKUP(A57,'Info y Comunicación'!$B$15:$K$138,10,0)</f>
        <v>Mantenimiento del control</v>
      </c>
      <c r="G57" s="131">
        <f>+VLOOKUP(A57,'Info y Comunicación'!$B$13:$N$160,13,0)</f>
        <v>304.63209999999998</v>
      </c>
      <c r="H57" s="133">
        <f t="shared" si="3"/>
        <v>56</v>
      </c>
      <c r="I57" s="131" t="str">
        <f t="shared" si="8"/>
        <v>Cuando en el análisis de los requerimientos en los diferenes componentes del MECI se cuente con aspectos evaluados en nivel 1 (presente) y 1 (funcionando); 2 (presente) y 1 (funcionando).</v>
      </c>
      <c r="J57" s="131" t="s">
        <v>409</v>
      </c>
      <c r="K57" s="131">
        <f>+IF(ISBLANK(VLOOKUP(A57,'Info y Comunicación'!$B$19:$F$138,5,0)),"",VLOOKUP(A57,'Info y Comunicación'!$B$19:$F$138,5,0))</f>
        <v>3</v>
      </c>
      <c r="L57" s="131">
        <f>+IF(ISBLANK(VLOOKUP(A57,'Info y Comunicación'!$B$19:$J$138,9,0)),"",VLOOKUP(A57,'Info y Comunicación'!$B$19:$J$138,9,0))</f>
        <v>3</v>
      </c>
      <c r="M57" s="131">
        <f t="shared" si="5"/>
        <v>1</v>
      </c>
      <c r="N57" s="131">
        <f t="shared" si="4"/>
        <v>1</v>
      </c>
      <c r="O57" s="131"/>
      <c r="P57" s="131"/>
    </row>
    <row r="58" spans="1:16" ht="12.75" customHeight="1" x14ac:dyDescent="0.2">
      <c r="A58" s="131" t="s">
        <v>412</v>
      </c>
      <c r="B58" s="131" t="str">
        <f t="shared" si="9"/>
        <v>13</v>
      </c>
      <c r="C58" s="131" t="str">
        <f>+MID(VLOOKUP(A58,'Info y Comunicación'!$B$13:$C$160,2,0),6,LEN(VLOOKUP(A58,'Info y Comunicación'!$B$13:$C$160,2,0))-6)</f>
        <v>La entidad ha desarrollado e implementado actividades de control sobre la integridad, confidencialidad y disponibilidad de los datos e información definidos como relevantes</v>
      </c>
      <c r="D58" s="131" t="s">
        <v>408</v>
      </c>
      <c r="E58" s="131" t="str">
        <f>+VLOOKUP(A58,'Info y Comunicación'!$B$15:$K$138,3,0)</f>
        <v>Dimension de Informacion y comunicación 
Politica de Transparencia y Acceso a la Informaciòn Publica</v>
      </c>
      <c r="F58" s="131" t="str">
        <f>+VLOOKUP(A58,'Info y Comunicación'!$B$15:$K$138,10,0)</f>
        <v>Mantenimiento del control</v>
      </c>
      <c r="G58" s="131">
        <f>+VLOOKUP(A58,'Info y Comunicación'!$B$13:$N$160,13,0)</f>
        <v>304.78960000000001</v>
      </c>
      <c r="H58" s="133">
        <f t="shared" si="3"/>
        <v>57</v>
      </c>
      <c r="I58" s="131" t="str">
        <f t="shared" si="8"/>
        <v>Cuando en el análisis de los requerimientos en los diferenes componentes del MECI se cuente con aspectos evaluados en nivel 1 (presente) y 1 (funcionando); 2 (presente) y 1 (funcionando).</v>
      </c>
      <c r="J58" s="131" t="s">
        <v>409</v>
      </c>
      <c r="K58" s="131">
        <f>+IF(ISBLANK(VLOOKUP(A58,'Info y Comunicación'!$B$19:$F$138,5,0)),"",VLOOKUP(A58,'Info y Comunicación'!$B$19:$F$138,5,0))</f>
        <v>3</v>
      </c>
      <c r="L58" s="131">
        <f>+IF(ISBLANK(VLOOKUP(A58,'Info y Comunicación'!$B$19:$J$138,9,0)),"",VLOOKUP(A58,'Info y Comunicación'!$B$19:$J$138,9,0))</f>
        <v>3</v>
      </c>
      <c r="M58" s="131">
        <f t="shared" si="5"/>
        <v>1</v>
      </c>
      <c r="N58" s="131">
        <f t="shared" si="4"/>
        <v>1</v>
      </c>
      <c r="O58" s="131"/>
      <c r="P58" s="131"/>
    </row>
    <row r="59" spans="1:16" ht="12.75" customHeight="1" x14ac:dyDescent="0.2">
      <c r="A59" s="131" t="s">
        <v>413</v>
      </c>
      <c r="B59" s="131" t="str">
        <f t="shared" si="9"/>
        <v>14</v>
      </c>
      <c r="C59" s="131" t="str">
        <f>+MID(VLOOKUP(A59,'Info y Comunicación'!$B$13:$C$160,2,0),6,LEN(VLOOKUP(A59,'Info y Comunicación'!$B$13:$C$160,2,0))-6)</f>
        <v>Para la comunicación interna la Alta Dirección tiene mecanismos que permitan dar a conocer los objetivos y metas estratégicas, de manera tal que todo el personal entiende su papel en su consecución. (Considera los canales más apropiados y evalúa su efectividad)</v>
      </c>
      <c r="D59" s="131" t="s">
        <v>408</v>
      </c>
      <c r="E59" s="131" t="str">
        <f>+VLOOKUP(A59,'Info y Comunicación'!$B$15:$K$138,3,0)</f>
        <v xml:space="preserve">Dimension de Informacion y comunicación
</v>
      </c>
      <c r="F59" s="131" t="str">
        <f>+VLOOKUP(A59,'Info y Comunicación'!$B$15:$K$138,10,0)</f>
        <v>Mantenimiento del control</v>
      </c>
      <c r="G59" s="131">
        <f>+VLOOKUP(A59,'Info y Comunicación'!$B$13:$N$160,13,0)</f>
        <v>304.8965</v>
      </c>
      <c r="H59" s="133">
        <f t="shared" si="3"/>
        <v>58</v>
      </c>
      <c r="I59" s="131" t="str">
        <f t="shared" si="8"/>
        <v>Cuando en el análisis de los requerimientos en los diferenes componentes del MECI se cuente con aspectos evaluados en nivel 1 (presente) y 1 (funcionando); 2 (presente) y 1 (funcionando).</v>
      </c>
      <c r="J59" s="131" t="s">
        <v>414</v>
      </c>
      <c r="K59" s="131">
        <f>+IF(ISBLANK(VLOOKUP(A59,'Info y Comunicación'!$B$19:$F$138,5,0)),"",VLOOKUP(A59,'Info y Comunicación'!$B$19:$F$138,5,0))</f>
        <v>3</v>
      </c>
      <c r="L59" s="131">
        <f>+IF(ISBLANK(VLOOKUP(A59,'Info y Comunicación'!$B$19:$J$138,9,0)),"",VLOOKUP(A59,'Info y Comunicación'!$B$19:$J$138,9,0))</f>
        <v>3</v>
      </c>
      <c r="M59" s="131">
        <f t="shared" si="5"/>
        <v>1</v>
      </c>
      <c r="N59" s="131">
        <f t="shared" si="4"/>
        <v>1</v>
      </c>
      <c r="O59" s="131"/>
      <c r="P59" s="131"/>
    </row>
    <row r="60" spans="1:16" ht="12.75" customHeight="1" x14ac:dyDescent="0.2">
      <c r="A60" s="131" t="s">
        <v>415</v>
      </c>
      <c r="B60" s="131" t="str">
        <f t="shared" si="9"/>
        <v>14</v>
      </c>
      <c r="C60" s="131" t="str">
        <f>+MID(VLOOKUP(A60,'Info y Comunicación'!$B$13:$C$160,2,0),6,LEN(VLOOKUP(A60,'Info y Comunicación'!$B$13:$C$160,2,0))-6)</f>
        <v>La entidad cuenta con políticas de operación relacionadas con la administración de la información (niveles de autoridad y responsabilidad</v>
      </c>
      <c r="D60" s="131" t="s">
        <v>408</v>
      </c>
      <c r="E60" s="131" t="str">
        <f>+VLOOKUP(A60,'Info y Comunicación'!$B$15:$K$138,3,0)</f>
        <v xml:space="preserve">Dimension de Informacion y comunicación
</v>
      </c>
      <c r="F60" s="131" t="str">
        <f>+VLOOKUP(A60,'Info y Comunicación'!$B$15:$K$138,10,0)</f>
        <v>Mantenimiento del control</v>
      </c>
      <c r="G60" s="131">
        <f>+VLOOKUP(A60,'Info y Comunicación'!$B$13:$N$160,13,0)</f>
        <v>304.98540000000003</v>
      </c>
      <c r="H60" s="133">
        <f t="shared" si="3"/>
        <v>59</v>
      </c>
      <c r="I60" s="131" t="str">
        <f t="shared" si="8"/>
        <v>Cuando en el análisis de los requerimientos en los diferenes componentes del MECI se cuente con aspectos evaluados en nivel 1 (presente) y 1 (funcionando); 2 (presente) y 1 (funcionando).</v>
      </c>
      <c r="J60" s="131" t="s">
        <v>414</v>
      </c>
      <c r="K60" s="131">
        <f>+IF(ISBLANK(VLOOKUP(A60,'Info y Comunicación'!$B$19:$F$138,5,0)),"",VLOOKUP(A60,'Info y Comunicación'!$B$19:$F$138,5,0))</f>
        <v>3</v>
      </c>
      <c r="L60" s="131">
        <f>+IF(ISBLANK(VLOOKUP(A60,'Info y Comunicación'!$B$19:$J$138,9,0)),"",VLOOKUP(A60,'Info y Comunicación'!$B$19:$J$138,9,0))</f>
        <v>3</v>
      </c>
      <c r="M60" s="131">
        <f t="shared" si="5"/>
        <v>1</v>
      </c>
      <c r="N60" s="131">
        <f t="shared" si="4"/>
        <v>1</v>
      </c>
      <c r="O60" s="131"/>
      <c r="P60" s="131"/>
    </row>
    <row r="61" spans="1:16" ht="12.75" customHeight="1" x14ac:dyDescent="0.2">
      <c r="A61" s="131" t="s">
        <v>416</v>
      </c>
      <c r="B61" s="131" t="str">
        <f t="shared" si="9"/>
        <v>14</v>
      </c>
      <c r="C61" s="131" t="str">
        <f>+MID(VLOOKUP(A61,'Info y Comunicación'!$B$13:$C$160,2,0),6,LEN(VLOOKUP(A61,'Info y Comunicación'!$B$13:$C$160,2,0))-6)</f>
        <v>La entidad cuenta con canales de información internos para la denuncia anónima o confidencial de posibles situaciones irregulares y se cuenta con mecanismos específicos para su manejo, de manera tal que generen la confianza para utilizarlos</v>
      </c>
      <c r="D61" s="131" t="s">
        <v>408</v>
      </c>
      <c r="E61" s="131" t="str">
        <f>+VLOOKUP(A61,'Info y Comunicación'!$B$15:$K$138,3,0)</f>
        <v xml:space="preserve">Dimension de Informacion y comunicación
</v>
      </c>
      <c r="F61" s="131" t="str">
        <f>+VLOOKUP(A61,'Info y Comunicación'!$B$15:$K$138,10,0)</f>
        <v>Mantenimiento del control</v>
      </c>
      <c r="G61" s="131">
        <f>+VLOOKUP(A61,'Info y Comunicación'!$B$13:$N$160,13,0)</f>
        <v>305.01229999999998</v>
      </c>
      <c r="H61" s="133">
        <f t="shared" si="3"/>
        <v>60</v>
      </c>
      <c r="I61" s="131" t="str">
        <f t="shared" si="8"/>
        <v>Cuando en el análisis de los requerimientos en los diferenes componentes del MECI se cuente con aspectos evaluados en nivel 1 (presente) y 1 (funcionando); 2 (presente) y 1 (funcionando).</v>
      </c>
      <c r="J61" s="131" t="s">
        <v>414</v>
      </c>
      <c r="K61" s="131">
        <f>+IF(ISBLANK(VLOOKUP(A61,'Info y Comunicación'!$B$19:$F$138,5,0)),"",VLOOKUP(A61,'Info y Comunicación'!$B$19:$F$138,5,0))</f>
        <v>3</v>
      </c>
      <c r="L61" s="131">
        <f>+IF(ISBLANK(VLOOKUP(A61,'Info y Comunicación'!$B$19:$J$138,9,0)),"",VLOOKUP(A61,'Info y Comunicación'!$B$19:$J$138,9,0))</f>
        <v>3</v>
      </c>
      <c r="M61" s="131">
        <f t="shared" si="5"/>
        <v>1</v>
      </c>
      <c r="N61" s="131">
        <f t="shared" si="4"/>
        <v>1</v>
      </c>
      <c r="O61" s="131"/>
      <c r="P61" s="131"/>
    </row>
    <row r="62" spans="1:16" ht="12.75" customHeight="1" x14ac:dyDescent="0.2">
      <c r="A62" s="131" t="s">
        <v>417</v>
      </c>
      <c r="B62" s="131" t="str">
        <f t="shared" si="9"/>
        <v>14</v>
      </c>
      <c r="C62" s="131" t="str">
        <f>+MID(VLOOKUP(A62,'Info y Comunicación'!$B$13:$C$160,2,0),6,LEN(VLOOKUP(A62,'Info y Comunicación'!$B$13:$C$160,2,0))-6)</f>
        <v>La entidad establece e implementa políticas y procedimientos para facilitar una comunicación interna efectiva</v>
      </c>
      <c r="D62" s="131" t="s">
        <v>408</v>
      </c>
      <c r="E62" s="131" t="str">
        <f>+VLOOKUP(A62,'Info y Comunicación'!$B$15:$K$138,3,0)</f>
        <v xml:space="preserve">Dimension de Informacion y comunicación
</v>
      </c>
      <c r="F62" s="131" t="str">
        <f>+VLOOKUP(A62,'Info y Comunicación'!$B$15:$K$138,10,0)</f>
        <v>Mantenimiento del control</v>
      </c>
      <c r="G62" s="131">
        <f>+VLOOKUP(A62,'Info y Comunicación'!$B$13:$N$160,13,0)</f>
        <v>305.12360000000001</v>
      </c>
      <c r="H62" s="133">
        <f t="shared" si="3"/>
        <v>61</v>
      </c>
      <c r="I62" s="131" t="str">
        <f t="shared" si="8"/>
        <v>Cuando en el análisis de los requerimientos en los diferenes componentes del MECI se cuente con aspectos evaluados en nivel 1 (presente) y 1 (funcionando); 2 (presente) y 1 (funcionando).</v>
      </c>
      <c r="J62" s="131" t="s">
        <v>414</v>
      </c>
      <c r="K62" s="131">
        <f>+IF(ISBLANK(VLOOKUP(A62,'Info y Comunicación'!$B$19:$F$138,5,0)),"",VLOOKUP(A62,'Info y Comunicación'!$B$19:$F$138,5,0))</f>
        <v>3</v>
      </c>
      <c r="L62" s="131">
        <f>+IF(ISBLANK(VLOOKUP(A62,'Info y Comunicación'!$B$19:$J$138,9,0)),"",VLOOKUP(A62,'Info y Comunicación'!$B$19:$J$138,9,0))</f>
        <v>3</v>
      </c>
      <c r="M62" s="131">
        <f t="shared" si="5"/>
        <v>1</v>
      </c>
      <c r="N62" s="131">
        <f t="shared" si="4"/>
        <v>1</v>
      </c>
      <c r="O62" s="131"/>
      <c r="P62" s="131"/>
    </row>
    <row r="63" spans="1:16" ht="12.75" customHeight="1" x14ac:dyDescent="0.2">
      <c r="A63" s="131" t="s">
        <v>418</v>
      </c>
      <c r="B63" s="131" t="str">
        <f t="shared" si="9"/>
        <v>15</v>
      </c>
      <c r="C63" s="131" t="str">
        <f>+MID(VLOOKUP(A63,'Info y Comunicación'!$B$13:$C$160,2,0),6,LEN(VLOOKUP(A63,'Info y Comunicación'!$B$13:$C$160,2,0))-6)</f>
        <v>La entidad desarrolla e implementa controles que facilitan la comunicación externa, la cual incluye  políticas y procedimientos. 
Incluye contratistas y proveedores de servicios tercerizados (cuando aplique).</v>
      </c>
      <c r="D63" s="131" t="s">
        <v>408</v>
      </c>
      <c r="E63" s="131" t="str">
        <f>+VLOOKUP(A63,'Info y Comunicación'!$B$15:$K$138,3,0)</f>
        <v xml:space="preserve">
Dimension de Informacion y Comunicación
Dimension de Control Interno
Primera Linea de Defensa</v>
      </c>
      <c r="F63" s="131" t="str">
        <f>+VLOOKUP(A63,'Info y Comunicación'!$B$15:$K$138,10,0)</f>
        <v>Mantenimiento del control</v>
      </c>
      <c r="G63" s="131">
        <f>+VLOOKUP(A63,'Info y Comunicación'!$B$13:$N$160,13,0)</f>
        <v>305.23689999999999</v>
      </c>
      <c r="H63" s="133">
        <f t="shared" si="3"/>
        <v>62</v>
      </c>
      <c r="I63" s="131" t="str">
        <f t="shared" si="8"/>
        <v>Cuando en el análisis de los requerimientos en los diferenes componentes del MECI se cuente con aspectos evaluados en nivel 1 (presente) y 1 (funcionando); 2 (presente) y 1 (funcionando).</v>
      </c>
      <c r="J63" s="131" t="s">
        <v>419</v>
      </c>
      <c r="K63" s="131">
        <f>+IF(ISBLANK(VLOOKUP(A63,'Info y Comunicación'!$B$19:$F$138,5,0)),"",VLOOKUP(A63,'Info y Comunicación'!$B$19:$F$138,5,0))</f>
        <v>3</v>
      </c>
      <c r="L63" s="131">
        <f>+IF(ISBLANK(VLOOKUP(A63,'Info y Comunicación'!$B$19:$J$138,9,0)),"",VLOOKUP(A63,'Info y Comunicación'!$B$19:$J$138,9,0))</f>
        <v>3</v>
      </c>
      <c r="M63" s="131">
        <f t="shared" si="5"/>
        <v>1</v>
      </c>
      <c r="N63" s="131">
        <f t="shared" si="4"/>
        <v>1</v>
      </c>
      <c r="O63" s="131"/>
      <c r="P63" s="131"/>
    </row>
    <row r="64" spans="1:16" x14ac:dyDescent="0.2">
      <c r="A64" s="131" t="s">
        <v>420</v>
      </c>
      <c r="B64" s="131" t="str">
        <f t="shared" si="9"/>
        <v>15</v>
      </c>
      <c r="C64" s="131" t="str">
        <f>+MID(VLOOKUP(A64,'Info y Comunicación'!$B$13:$C$160,2,0),6,LEN(VLOOKUP(A64,'Info y Comunicación'!$B$13:$C$160,2,0))-6)</f>
        <v>La entidad cuenta con canales externos definidos de comunicación, asociados con el tipo de información a divulgar, y éstos son reconocidos a todo nivel de la organización.</v>
      </c>
      <c r="D64" s="131" t="s">
        <v>408</v>
      </c>
      <c r="E64" s="131" t="str">
        <f>+VLOOKUP(A64,'Info y Comunicación'!$B$15:$K$138,3,0)</f>
        <v xml:space="preserve">Dimension de Informacion y Comunicación
Politica de Transparencia, acceso a la información pública y lucha
contra la corrupción </v>
      </c>
      <c r="F64" s="131" t="str">
        <f>+VLOOKUP(A64,'Info y Comunicación'!$B$15:$K$138,10,0)</f>
        <v>Mantenimiento del control</v>
      </c>
      <c r="G64" s="131">
        <f>+VLOOKUP(A64,'Info y Comunicación'!$B$13:$N$160,13,0)</f>
        <v>305.36540000000002</v>
      </c>
      <c r="H64" s="133">
        <f t="shared" si="3"/>
        <v>63</v>
      </c>
      <c r="I64" s="131" t="str">
        <f t="shared" si="8"/>
        <v>Cuando en el análisis de los requerimientos en los diferenes componentes del MECI se cuente con aspectos evaluados en nivel 1 (presente) y 1 (funcionando); 2 (presente) y 1 (funcionando).</v>
      </c>
      <c r="J64" s="131" t="s">
        <v>419</v>
      </c>
      <c r="K64" s="131">
        <f>+IF(ISBLANK(VLOOKUP(A64,'Info y Comunicación'!$B$19:$F$138,5,0)),"",VLOOKUP(A64,'Info y Comunicación'!$B$19:$F$138,5,0))</f>
        <v>3</v>
      </c>
      <c r="L64" s="131">
        <f>+IF(ISBLANK(VLOOKUP(A64,'Info y Comunicación'!$B$19:$J$138,9,0)),"",VLOOKUP(A64,'Info y Comunicación'!$B$19:$J$138,9,0))</f>
        <v>3</v>
      </c>
      <c r="M64" s="131">
        <f t="shared" si="5"/>
        <v>1</v>
      </c>
      <c r="N64" s="131">
        <f t="shared" si="4"/>
        <v>1</v>
      </c>
      <c r="O64" s="131"/>
      <c r="P64" s="131"/>
    </row>
    <row r="65" spans="1:16" x14ac:dyDescent="0.2">
      <c r="A65" s="131" t="s">
        <v>421</v>
      </c>
      <c r="B65" s="131" t="str">
        <f t="shared" si="9"/>
        <v>15</v>
      </c>
      <c r="C65" s="131" t="str">
        <f>+MID(VLOOKUP(A65,'Info y Comunicación'!$B$13:$C$160,2,0),6,LEN(VLOOKUP(A65,'Info y Comunicación'!$B$13:$C$160,2,0))-6)</f>
        <v>La entidad cuenta con procesos o procedimiento para el manejo de la información entrante (quién la recibe, quién la clasifica, quién la analiza), y a la respuesta requierida (quién la canaliza y la responde)</v>
      </c>
      <c r="D65" s="131" t="s">
        <v>408</v>
      </c>
      <c r="E65" s="131" t="str">
        <f>+VLOOKUP(A65,'Info y Comunicación'!$B$15:$K$138,3,0)</f>
        <v xml:space="preserve">Dimension de Informacion y Comunicación
Politica de Gestion Documental
Politica de Transparencia, acceso a la información pública y lucha
contra la corrupción </v>
      </c>
      <c r="F65" s="131" t="str">
        <f>+VLOOKUP(A65,'Info y Comunicación'!$B$15:$K$138,10,0)</f>
        <v>Mantenimiento del control</v>
      </c>
      <c r="G65" s="131">
        <f>+VLOOKUP(A65,'Info y Comunicación'!$B$13:$N$160,13,0)</f>
        <v>305.4563</v>
      </c>
      <c r="H65" s="133">
        <f t="shared" si="3"/>
        <v>64</v>
      </c>
      <c r="I65" s="131" t="str">
        <f t="shared" si="8"/>
        <v>Cuando en el análisis de los requerimientos en los diferenes componentes del MECI se cuente con aspectos evaluados en nivel 1 (presente) y 1 (funcionando); 2 (presente) y 1 (funcionando).</v>
      </c>
      <c r="J65" s="131" t="s">
        <v>419</v>
      </c>
      <c r="K65" s="131">
        <f>+IF(ISBLANK(VLOOKUP(A65,'Info y Comunicación'!$B$19:$F$138,5,0)),"",VLOOKUP(A65,'Info y Comunicación'!$B$19:$F$138,5,0))</f>
        <v>3</v>
      </c>
      <c r="L65" s="131">
        <f>+IF(ISBLANK(VLOOKUP(A65,'Info y Comunicación'!$B$19:$J$138,9,0)),"",VLOOKUP(A65,'Info y Comunicación'!$B$19:$J$138,9,0))</f>
        <v>3</v>
      </c>
      <c r="M65" s="131">
        <f t="shared" si="5"/>
        <v>1</v>
      </c>
      <c r="N65" s="131">
        <f t="shared" si="4"/>
        <v>1</v>
      </c>
      <c r="O65" s="131"/>
      <c r="P65" s="131"/>
    </row>
    <row r="66" spans="1:16" x14ac:dyDescent="0.2">
      <c r="A66" s="131" t="s">
        <v>422</v>
      </c>
      <c r="B66" s="131" t="str">
        <f t="shared" si="9"/>
        <v>15</v>
      </c>
      <c r="C66" s="131" t="str">
        <f>+MID(VLOOKUP(A66,'Info y Comunicación'!$B$13:$C$160,2,0),6,LEN(VLOOKUP(A66,'Info y Comunicación'!$B$13:$C$160,2,0))-6)</f>
        <v>La entidad cuenta con procesos o procedimientos encaminados a evaluar periodicamente la efectividad de los canales de comunicación con partes externas, así como sus contenidos, de tal forma que se puedan mejorar.</v>
      </c>
      <c r="D66" s="131" t="s">
        <v>408</v>
      </c>
      <c r="E66" s="131" t="str">
        <f>+VLOOKUP(A66,'Info y Comunicación'!$B$15:$K$138,3,0)</f>
        <v>Dimension de Informacion y Comunicación
Politica deControl Interno
Lineas de Defensa</v>
      </c>
      <c r="F66" s="131" t="str">
        <f>+VLOOKUP(A66,'Info y Comunicación'!$B$15:$K$138,10,0)</f>
        <v>Mantenimiento del control</v>
      </c>
      <c r="G66" s="131">
        <f>+VLOOKUP(A66,'Info y Comunicación'!$B$13:$N$160,13,0)</f>
        <v>305.56319999999999</v>
      </c>
      <c r="H66" s="133">
        <f t="shared" si="3"/>
        <v>65</v>
      </c>
      <c r="I66" s="131" t="str">
        <f t="shared" ref="I66:I82" si="14">+IF(F66=$F$2,$P$4,IF(F66=$F$3,$P$2,$P$3))</f>
        <v>Cuando en el análisis de los requerimientos en los diferenes componentes del MECI se cuente con aspectos evaluados en nivel 1 (presente) y 1 (funcionando); 2 (presente) y 1 (funcionando).</v>
      </c>
      <c r="J66" s="131" t="s">
        <v>419</v>
      </c>
      <c r="K66" s="131">
        <f>+IF(ISBLANK(VLOOKUP(A66,'Info y Comunicación'!$B$19:$F$138,5,0)),"",VLOOKUP(A66,'Info y Comunicación'!$B$19:$F$138,5,0))</f>
        <v>3</v>
      </c>
      <c r="L66" s="131">
        <f>+IF(ISBLANK(VLOOKUP(A66,'Info y Comunicación'!$B$19:$J$138,9,0)),"",VLOOKUP(A66,'Info y Comunicación'!$B$19:$J$138,9,0))</f>
        <v>3</v>
      </c>
      <c r="M66" s="131">
        <f t="shared" si="5"/>
        <v>1</v>
      </c>
      <c r="N66" s="131">
        <f t="shared" si="4"/>
        <v>1</v>
      </c>
      <c r="O66" s="131"/>
      <c r="P66" s="131"/>
    </row>
    <row r="67" spans="1:16" x14ac:dyDescent="0.2">
      <c r="A67" s="131" t="s">
        <v>423</v>
      </c>
      <c r="B67" s="131" t="str">
        <f t="shared" si="9"/>
        <v>15</v>
      </c>
      <c r="C67" s="131" t="str">
        <f>+MID(VLOOKUP(A67,'Info y Comunicación'!$B$13:$C$160,2,0),6,LEN(VLOOKUP(A67,'Info y Comunicación'!$B$13:$C$160,2,0))-6)</f>
        <v>La entidad analiza periodicamente su caracterización de usuarios o grupos de valor, a fin de actualizarla cuando sea pertinente</v>
      </c>
      <c r="D67" s="131" t="s">
        <v>408</v>
      </c>
      <c r="E67" s="131" t="str">
        <f>+VLOOKUP(A67,'Info y Comunicación'!$B$15:$K$138,3,0)</f>
        <v>Dimension de Direccionamiento Estrategico y Planeaciòn
Politica de Planeacion Institucional</v>
      </c>
      <c r="F67" s="131" t="str">
        <f>+VLOOKUP(A67,'Info y Comunicación'!$B$15:$K$138,10,0)</f>
        <v>Mantenimiento del control</v>
      </c>
      <c r="G67" s="131">
        <f>+VLOOKUP(A67,'Info y Comunicación'!$B$13:$N$160,13,0)</f>
        <v>305.63209999999998</v>
      </c>
      <c r="H67" s="133">
        <f t="shared" si="3"/>
        <v>66</v>
      </c>
      <c r="I67" s="131" t="str">
        <f t="shared" si="14"/>
        <v>Cuando en el análisis de los requerimientos en los diferenes componentes del MECI se cuente con aspectos evaluados en nivel 1 (presente) y 1 (funcionando); 2 (presente) y 1 (funcionando).</v>
      </c>
      <c r="J67" s="131" t="s">
        <v>419</v>
      </c>
      <c r="K67" s="131">
        <f>+IF(ISBLANK(VLOOKUP(A67,'Info y Comunicación'!$B$19:$F$138,5,0)),"",VLOOKUP(A67,'Info y Comunicación'!$B$19:$F$138,5,0))</f>
        <v>3</v>
      </c>
      <c r="L67" s="131">
        <f>+IF(ISBLANK(VLOOKUP(A67,'Info y Comunicación'!$B$19:$J$138,9,0)),"",VLOOKUP(A67,'Info y Comunicación'!$B$19:$J$138,9,0))</f>
        <v>3</v>
      </c>
      <c r="M67" s="131">
        <f t="shared" si="5"/>
        <v>1</v>
      </c>
      <c r="N67" s="131">
        <f t="shared" si="4"/>
        <v>1</v>
      </c>
      <c r="O67" s="131"/>
      <c r="P67" s="131"/>
    </row>
    <row r="68" spans="1:16" x14ac:dyDescent="0.2">
      <c r="A68" s="131" t="s">
        <v>424</v>
      </c>
      <c r="B68" s="131" t="str">
        <f t="shared" si="9"/>
        <v>15</v>
      </c>
      <c r="C68" s="131" t="str">
        <f>+MID(VLOOKUP(A68,'Info y Comunicación'!$B$13:$C$160,2,0),6,LEN(VLOOKUP(A68,'Info y Comunicación'!$B$13:$C$160,2,0))-6)</f>
        <v>La entidad analiza periodicamente los resultados frente a la evaluación de percepción por parte de los usuarios o grupos de valor para la incorporación de las mejoras correspondientes</v>
      </c>
      <c r="D68" s="131" t="s">
        <v>408</v>
      </c>
      <c r="E68" s="131" t="str">
        <f>+VLOOKUP(A68,'Info y Comunicación'!$B$15:$K$138,3,0)</f>
        <v>Dimension de Direccionamiento Estrategico y Planeaciòn
Politica de Planeacion Institucional</v>
      </c>
      <c r="F68" s="131" t="str">
        <f>+VLOOKUP(A68,'Info y Comunicación'!$B$15:$K$138,10,0)</f>
        <v>Mantenimiento del control</v>
      </c>
      <c r="G68" s="131">
        <f>+VLOOKUP(A68,'Info y Comunicación'!$B$13:$N$160,13,0)</f>
        <v>305.78960000000001</v>
      </c>
      <c r="H68" s="133">
        <f t="shared" si="3"/>
        <v>67</v>
      </c>
      <c r="I68" s="131" t="str">
        <f t="shared" si="14"/>
        <v>Cuando en el análisis de los requerimientos en los diferenes componentes del MECI se cuente con aspectos evaluados en nivel 1 (presente) y 1 (funcionando); 2 (presente) y 1 (funcionando).</v>
      </c>
      <c r="J68" s="131" t="s">
        <v>419</v>
      </c>
      <c r="K68" s="131">
        <f>+IF(ISBLANK(VLOOKUP(A68,'Info y Comunicación'!$B$19:$F$138,5,0)),"",VLOOKUP(A68,'Info y Comunicación'!$B$19:$F$138,5,0))</f>
        <v>3</v>
      </c>
      <c r="L68" s="131">
        <f>+IF(ISBLANK(VLOOKUP(A68,'Info y Comunicación'!$B$19:$J$138,9,0)),"",VLOOKUP(A68,'Info y Comunicación'!$B$19:$J$138,9,0))</f>
        <v>3</v>
      </c>
      <c r="M68" s="131">
        <f t="shared" ref="M68:M82" si="15">+IF(OR(AND(K68=1,L68=1),AND(ISBLANK(K68),ISBLANK(L68)),K68="",L68=""),0,IF(OR(AND(K68=1,L68=2),AND(K68=1,L68=3)),0.25,IF(OR(AND(K68=2,L68=2),AND(K68=3,L68=1),AND(K68=3,L68=2),AND(K68=2,L68=1)),0.5,IF(AND(K68=2,L68=3),0.75,1))))</f>
        <v>1</v>
      </c>
      <c r="N68" s="131">
        <f t="shared" si="4"/>
        <v>1</v>
      </c>
      <c r="O68" s="131"/>
      <c r="P68" s="131"/>
    </row>
    <row r="69" spans="1:16" x14ac:dyDescent="0.2">
      <c r="A69" s="131" t="s">
        <v>425</v>
      </c>
      <c r="B69" s="131" t="str">
        <f t="shared" si="9"/>
        <v>16</v>
      </c>
      <c r="C69" s="131" t="str">
        <f>+MID(VLOOKUP(A69,'Actividades de Monitoreo'!$B$13:$C$176,2,0),6,LEN(VLOOKUP(A69,'Actividades de Monitoreo'!$B$13:$C$176,2,0))-6)</f>
        <v>El comité Institucional de Coordinación de Control Interno aprueba anualmente el Plan Anual de Auditoría presentado por parte del Jefe de Control Interno o quien haga sus veces y hace el correspondiente seguimiento a sus ejecución</v>
      </c>
      <c r="D69" s="131" t="s">
        <v>426</v>
      </c>
      <c r="E69" s="131" t="str">
        <f>+VLOOKUP(A69,'Actividades de Monitoreo'!$B$17:$K$134,3,0)</f>
        <v>Dimension de Control Interno
Lineas Estrategica</v>
      </c>
      <c r="F69" s="131" t="str">
        <f>+VLOOKUP(A69,'Actividades de Monitoreo'!$B$17:$K$134,10,0)</f>
        <v>Mantenimiento del control</v>
      </c>
      <c r="G69" s="131">
        <f>+VLOOKUP(A69,'Actividades de Monitoreo'!$B$13:$N$176,13,0)</f>
        <v>385.87450000000001</v>
      </c>
      <c r="H69" s="133">
        <f t="shared" si="3"/>
        <v>68</v>
      </c>
      <c r="I69" s="131" t="str">
        <f t="shared" si="14"/>
        <v>Cuando en el análisis de los requerimientos en los diferenes componentes del MECI se cuente con aspectos evaluados en nivel 1 (presente) y 1 (funcionando); 2 (presente) y 1 (funcionando).</v>
      </c>
      <c r="J69" s="131" t="s">
        <v>427</v>
      </c>
      <c r="K69" s="131">
        <f>+IF(ISBLANK(VLOOKUP(A69,'Actividades de Monitoreo'!$B$20:$F$134,5,0)),"",VLOOKUP(A69,'Actividades de Monitoreo'!$B$20:$F$134,5,0))</f>
        <v>3</v>
      </c>
      <c r="L69" s="131">
        <f>+IF(ISBLANK(VLOOKUP(A69,'Actividades de Monitoreo'!$B$20:$J$134,9,0)),"",VLOOKUP(A69,'Actividades de Monitoreo'!$B$20:$J$134,9,0))</f>
        <v>3</v>
      </c>
      <c r="M69" s="131">
        <f t="shared" si="15"/>
        <v>1</v>
      </c>
      <c r="N69" s="131">
        <f t="shared" si="4"/>
        <v>1</v>
      </c>
      <c r="O69" s="131"/>
      <c r="P69" s="131"/>
    </row>
    <row r="70" spans="1:16" x14ac:dyDescent="0.2">
      <c r="A70" s="131" t="s">
        <v>428</v>
      </c>
      <c r="B70" s="131" t="str">
        <f t="shared" si="9"/>
        <v>16</v>
      </c>
      <c r="C70" s="131" t="str">
        <f>+MID(VLOOKUP(A70,'Actividades de Monitoreo'!$B$13:$C$176,2,0),6,LEN(VLOOKUP(A70,'Actividades de Monitoreo'!$B$13:$C$176,2,0))-6)</f>
        <v xml:space="preserve"> La Alta Dirección periódicamente evalúa los resultados de las evaluaciones (contínuas e independientes)  para concluir acerca de la efectividad del Sistema de Control Intern</v>
      </c>
      <c r="D70" s="131" t="s">
        <v>426</v>
      </c>
      <c r="E70" s="131" t="str">
        <f>+VLOOKUP(A70,'Actividades de Monitoreo'!$B$17:$K$134,3,0)</f>
        <v>Dimension de Control Interno
Lineas Estrategica</v>
      </c>
      <c r="F70" s="131" t="str">
        <f>+VLOOKUP(A70,'Actividades de Monitoreo'!$B$17:$K$134,10,0)</f>
        <v>Mantenimiento del control</v>
      </c>
      <c r="G70" s="131">
        <f>+VLOOKUP(A70,'Actividades de Monitoreo'!$B$13:$N$176,13,0)</f>
        <v>385.96539999999999</v>
      </c>
      <c r="H70" s="133">
        <f t="shared" si="3"/>
        <v>69</v>
      </c>
      <c r="I70" s="131" t="str">
        <f t="shared" si="14"/>
        <v>Cuando en el análisis de los requerimientos en los diferenes componentes del MECI se cuente con aspectos evaluados en nivel 1 (presente) y 1 (funcionando); 2 (presente) y 1 (funcionando).</v>
      </c>
      <c r="J70" s="131" t="s">
        <v>427</v>
      </c>
      <c r="K70" s="131">
        <f>+IF(ISBLANK(VLOOKUP(A70,'Actividades de Monitoreo'!$B$20:$F$134,5,0)),"",VLOOKUP(A70,'Actividades de Monitoreo'!$B$20:$F$134,5,0))</f>
        <v>3</v>
      </c>
      <c r="L70" s="131">
        <f>+IF(ISBLANK(VLOOKUP(A70,'Actividades de Monitoreo'!$B$20:$J$134,9,0)),"",VLOOKUP(A70,'Actividades de Monitoreo'!$B$20:$J$134,9,0))</f>
        <v>3</v>
      </c>
      <c r="M70" s="131">
        <f t="shared" si="15"/>
        <v>1</v>
      </c>
      <c r="N70" s="131">
        <f t="shared" si="4"/>
        <v>1</v>
      </c>
      <c r="O70" s="131"/>
      <c r="P70" s="131"/>
    </row>
    <row r="71" spans="1:16" x14ac:dyDescent="0.2">
      <c r="A71" s="131" t="s">
        <v>429</v>
      </c>
      <c r="B71" s="131" t="str">
        <f t="shared" si="9"/>
        <v>16</v>
      </c>
      <c r="C71" s="131" t="str">
        <f>+MID(VLOOKUP(A71,'Actividades de Monitoreo'!$B$13:$C$176,2,0),6,LEN(VLOOKUP(A71,'Actividades de Monitoreo'!$B$13:$C$176,2,0))-6)</f>
        <v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D71" s="131" t="s">
        <v>426</v>
      </c>
      <c r="E71" s="131" t="str">
        <f>+VLOOKUP(A71,'Actividades de Monitoreo'!$B$17:$K$134,3,0)</f>
        <v>Dimension de Control Interno
Tercera Linea de Defensa</v>
      </c>
      <c r="F71" s="131" t="str">
        <f>+VLOOKUP(A71,'Actividades de Monitoreo'!$B$17:$K$134,10,0)</f>
        <v>Mantenimiento del control</v>
      </c>
      <c r="G71" s="131">
        <f>+VLOOKUP(A71,'Actividades de Monitoreo'!$B$13:$N$176,13,0)</f>
        <v>386.01229999999998</v>
      </c>
      <c r="H71" s="133">
        <f t="shared" ref="H71:H82" si="16">+_xlfn.RANK.EQ(G71,$G$2:$G$82,1)</f>
        <v>70</v>
      </c>
      <c r="I71" s="131" t="str">
        <f t="shared" si="14"/>
        <v>Cuando en el análisis de los requerimientos en los diferenes componentes del MECI se cuente con aspectos evaluados en nivel 1 (presente) y 1 (funcionando); 2 (presente) y 1 (funcionando).</v>
      </c>
      <c r="J71" s="131" t="s">
        <v>427</v>
      </c>
      <c r="K71" s="131">
        <f>+IF(ISBLANK(VLOOKUP(A71,'Actividades de Monitoreo'!$B$20:$F$134,5,0)),"",VLOOKUP(A71,'Actividades de Monitoreo'!$B$20:$F$134,5,0))</f>
        <v>3</v>
      </c>
      <c r="L71" s="131">
        <f>+IF(ISBLANK(VLOOKUP(A71,'Actividades de Monitoreo'!$B$20:$J$134,9,0)),"",VLOOKUP(A71,'Actividades de Monitoreo'!$B$20:$J$134,9,0))</f>
        <v>3</v>
      </c>
      <c r="M71" s="131">
        <f t="shared" si="15"/>
        <v>1</v>
      </c>
      <c r="N71" s="131">
        <f t="shared" ref="N71:N82" si="17">+AVERAGEIF($D$2:$D$82,D71,$M$2:$M$82)</f>
        <v>1</v>
      </c>
      <c r="O71" s="131"/>
      <c r="P71" s="131"/>
    </row>
    <row r="72" spans="1:16" x14ac:dyDescent="0.2">
      <c r="A72" s="131" t="s">
        <v>430</v>
      </c>
      <c r="B72" s="131" t="str">
        <f t="shared" si="9"/>
        <v>16</v>
      </c>
      <c r="C72" s="131" t="str">
        <f>+MID(VLOOKUP(A72,'Actividades de Monitoreo'!$B$13:$C$176,2,0),6,LEN(VLOOKUP(A72,'Actividades de Monitoreo'!$B$13:$C$176,2,0))-6)</f>
        <v>Acorde con el Esquema de Líneas de Defensa se han implementado procedimientos de monitoreo continuo como parte de las actividades de la 2a línea de defensa, a fin de contar con información clave para la toma de decisiones</v>
      </c>
      <c r="D72" s="131" t="s">
        <v>426</v>
      </c>
      <c r="E72" s="131" t="str">
        <f>+VLOOKUP(A72,'Actividades de Monitoreo'!$B$17:$K$134,3,0)</f>
        <v>Dimension de Control Interno
Segunda Linea de Defensa</v>
      </c>
      <c r="F72" s="131" t="str">
        <f>+VLOOKUP(A72,'Actividades de Monitoreo'!$B$17:$K$134,10,0)</f>
        <v>Mantenimiento del control</v>
      </c>
      <c r="G72" s="131">
        <f>+VLOOKUP(A72,'Actividades de Monitoreo'!$B$13:$N$176,13,0)</f>
        <v>386.12360000000001</v>
      </c>
      <c r="H72" s="133">
        <f t="shared" si="16"/>
        <v>71</v>
      </c>
      <c r="I72" s="131" t="str">
        <f t="shared" si="14"/>
        <v>Cuando en el análisis de los requerimientos en los diferenes componentes del MECI se cuente con aspectos evaluados en nivel 1 (presente) y 1 (funcionando); 2 (presente) y 1 (funcionando).</v>
      </c>
      <c r="J72" s="131" t="s">
        <v>427</v>
      </c>
      <c r="K72" s="131">
        <f>+IF(ISBLANK(VLOOKUP(A72,'Actividades de Monitoreo'!$B$20:$F$134,5,0)),"",VLOOKUP(A72,'Actividades de Monitoreo'!$B$20:$F$134,5,0))</f>
        <v>3</v>
      </c>
      <c r="L72" s="131">
        <f>+IF(ISBLANK(VLOOKUP(A72,'Actividades de Monitoreo'!$B$20:$J$134,9,0)),"",VLOOKUP(A72,'Actividades de Monitoreo'!$B$20:$J$134,9,0))</f>
        <v>3</v>
      </c>
      <c r="M72" s="131">
        <f t="shared" si="15"/>
        <v>1</v>
      </c>
      <c r="N72" s="131">
        <f t="shared" si="17"/>
        <v>1</v>
      </c>
      <c r="O72" s="131"/>
      <c r="P72" s="131"/>
    </row>
    <row r="73" spans="1:16" x14ac:dyDescent="0.2">
      <c r="A73" s="131" t="s">
        <v>431</v>
      </c>
      <c r="B73" s="131" t="str">
        <f t="shared" si="9"/>
        <v>16</v>
      </c>
      <c r="C73" s="131" t="str">
        <f>+MID(VLOOKUP(A73,'Actividades de Monitoreo'!$B$13:$C$176,2,0),6,LEN(VLOOKUP(A73,'Actividades de Monitoreo'!$B$13:$C$176,2,0))-6)</f>
        <v>Frente a las evaluaciones independientes la entidad considera evaluaciones externas de organismos de control, de vigilancia, certificadores, ONG´s u otros que permitan tener una mirada independiente de las operaciones</v>
      </c>
      <c r="D73" s="131" t="s">
        <v>426</v>
      </c>
      <c r="E73" s="131" t="str">
        <f>+VLOOKUP(A73,'Actividades de Monitoreo'!$B$17:$K$134,3,0)</f>
        <v>Dimension de Control Interno
Lineas de Defensa</v>
      </c>
      <c r="F73" s="131" t="str">
        <f>+VLOOKUP(A73,'Actividades de Monitoreo'!$B$17:$K$134,10,0)</f>
        <v>Mantenimiento del control</v>
      </c>
      <c r="G73" s="131">
        <f>+VLOOKUP(A73,'Actividades de Monitoreo'!$B$13:$N$176,13,0)</f>
        <v>386.21359999999999</v>
      </c>
      <c r="H73" s="133">
        <f t="shared" si="16"/>
        <v>72</v>
      </c>
      <c r="I73" s="131" t="str">
        <f t="shared" si="14"/>
        <v>Cuando en el análisis de los requerimientos en los diferenes componentes del MECI se cuente con aspectos evaluados en nivel 1 (presente) y 1 (funcionando); 2 (presente) y 1 (funcionando).</v>
      </c>
      <c r="J73" s="131" t="s">
        <v>427</v>
      </c>
      <c r="K73" s="131">
        <f>+IF(ISBLANK(VLOOKUP(A73,'Actividades de Monitoreo'!$B$20:$F$134,5,0)),"",VLOOKUP(A73,'Actividades de Monitoreo'!$B$20:$F$134,5,0))</f>
        <v>3</v>
      </c>
      <c r="L73" s="131">
        <f>+IF(ISBLANK(VLOOKUP(A73,'Actividades de Monitoreo'!$B$20:$J$134,9,0)),"",VLOOKUP(A73,'Actividades de Monitoreo'!$B$20:$J$134,9,0))</f>
        <v>3</v>
      </c>
      <c r="M73" s="131">
        <f t="shared" si="15"/>
        <v>1</v>
      </c>
      <c r="N73" s="131">
        <f t="shared" si="17"/>
        <v>1</v>
      </c>
      <c r="O73" s="131"/>
      <c r="P73" s="131"/>
    </row>
    <row r="74" spans="1:16" x14ac:dyDescent="0.2">
      <c r="A74" s="131" t="s">
        <v>432</v>
      </c>
      <c r="B74" s="131" t="str">
        <f t="shared" si="9"/>
        <v>17</v>
      </c>
      <c r="C74" s="131" t="str">
        <f>+MID(VLOOKUP(A74,'Actividades de Monitoreo'!$B$13:$C$176,2,0),6,LEN(VLOOKUP(A74,'Actividades de Monitoreo'!$B$13:$C$176,2,0))-6)</f>
        <v>A partir de la información de las evaluaciones independientes, se evalúan para determinar su efecto en el Sistema de Control Interno de la entidad y su impacto en el logro de los objetivos, a fin de determinar cursos de acción para su mejora</v>
      </c>
      <c r="D74" s="131" t="s">
        <v>426</v>
      </c>
      <c r="E74" s="131" t="str">
        <f>+VLOOKUP(A74,'Actividades de Monitoreo'!$B$17:$K$134,3,0)</f>
        <v>Dimension de Control Interno
Lineas de Defensa</v>
      </c>
      <c r="F74" s="131" t="str">
        <f>+VLOOKUP(A74,'Actividades de Monitoreo'!$B$17:$K$134,10,0)</f>
        <v>Mantenimiento del control</v>
      </c>
      <c r="G74" s="131">
        <f>+VLOOKUP(A74,'Actividades de Monitoreo'!$B$13:$N$176,13,0)</f>
        <v>386.32580000000002</v>
      </c>
      <c r="H74" s="133">
        <f t="shared" si="16"/>
        <v>73</v>
      </c>
      <c r="I74" s="131" t="str">
        <f t="shared" si="14"/>
        <v>Cuando en el análisis de los requerimientos en los diferenes componentes del MECI se cuente con aspectos evaluados en nivel 1 (presente) y 1 (funcionando); 2 (presente) y 1 (funcionando).</v>
      </c>
      <c r="J74" s="131" t="s">
        <v>433</v>
      </c>
      <c r="K74" s="131">
        <f>+IF(ISBLANK(VLOOKUP(A74,'Actividades de Monitoreo'!$B$20:$F$134,5,0)),"",VLOOKUP(A74,'Actividades de Monitoreo'!$B$20:$F$134,5,0))</f>
        <v>3</v>
      </c>
      <c r="L74" s="131">
        <f>+IF(ISBLANK(VLOOKUP(A74,'Actividades de Monitoreo'!$B$20:$J$134,9,0)),"",VLOOKUP(A74,'Actividades de Monitoreo'!$B$20:$J$134,9,0))</f>
        <v>3</v>
      </c>
      <c r="M74" s="131">
        <f t="shared" si="15"/>
        <v>1</v>
      </c>
      <c r="N74" s="131">
        <f t="shared" si="17"/>
        <v>1</v>
      </c>
      <c r="O74" s="131"/>
      <c r="P74" s="131"/>
    </row>
    <row r="75" spans="1:16" x14ac:dyDescent="0.2">
      <c r="A75" s="131" t="s">
        <v>434</v>
      </c>
      <c r="B75" s="131" t="str">
        <f t="shared" si="9"/>
        <v>17</v>
      </c>
      <c r="C75" s="131" t="str">
        <f>+MID(VLOOKUP(A75,'Actividades de Monitoreo'!$B$13:$C$176,2,0),6,LEN(VLOOKUP(A75,'Actividades de Monitoreo'!$B$13:$C$176,2,0))-6)</f>
        <v>Los informes recibidos de entes externos (organismos de control, auditores externos, entidades de vigilancia entre otros) se consolidan y se concluye sobre el impacto en el Sistema de Control Interno, a fin de determinar los cursos de acción</v>
      </c>
      <c r="D75" s="131" t="s">
        <v>426</v>
      </c>
      <c r="E75" s="131" t="str">
        <f>+VLOOKUP(A75,'Actividades de Monitoreo'!$B$17:$K$134,3,0)</f>
        <v>Dimension de Control Interno
Lineas de Defensa</v>
      </c>
      <c r="F75" s="131" t="str">
        <f>+VLOOKUP(A75,'Actividades de Monitoreo'!$B$17:$K$134,10,0)</f>
        <v>Mantenimiento del control</v>
      </c>
      <c r="G75" s="131">
        <f>+VLOOKUP(A75,'Actividades de Monitoreo'!$B$13:$N$176,13,0)</f>
        <v>386.45690000000002</v>
      </c>
      <c r="H75" s="133">
        <f t="shared" si="16"/>
        <v>74</v>
      </c>
      <c r="I75" s="131" t="str">
        <f t="shared" si="14"/>
        <v>Cuando en el análisis de los requerimientos en los diferenes componentes del MECI se cuente con aspectos evaluados en nivel 1 (presente) y 1 (funcionando); 2 (presente) y 1 (funcionando).</v>
      </c>
      <c r="J75" s="131" t="s">
        <v>433</v>
      </c>
      <c r="K75" s="131">
        <f>+IF(ISBLANK(VLOOKUP(A75,'Actividades de Monitoreo'!$B$20:$F$134,5,0)),"",VLOOKUP(A75,'Actividades de Monitoreo'!$B$20:$F$134,5,0))</f>
        <v>3</v>
      </c>
      <c r="L75" s="131">
        <f>+IF(ISBLANK(VLOOKUP(A75,'Actividades de Monitoreo'!$B$20:$J$134,9,0)),"",VLOOKUP(A75,'Actividades de Monitoreo'!$B$20:$J$134,9,0))</f>
        <v>3</v>
      </c>
      <c r="M75" s="131">
        <f t="shared" si="15"/>
        <v>1</v>
      </c>
      <c r="N75" s="131">
        <f t="shared" si="17"/>
        <v>1</v>
      </c>
      <c r="O75" s="131"/>
      <c r="P75" s="131"/>
    </row>
    <row r="76" spans="1:16" x14ac:dyDescent="0.2">
      <c r="A76" s="131" t="s">
        <v>435</v>
      </c>
      <c r="B76" s="131" t="str">
        <f t="shared" si="9"/>
        <v>17</v>
      </c>
      <c r="C76" s="131" t="str">
        <f>+MID(VLOOKUP(A76,'Actividades de Monitoreo'!$B$13:$C$176,2,0),6,LEN(VLOOKUP(A76,'Actividades de Monitoreo'!$B$13:$C$176,2,0))-6)</f>
        <v>La entidad cuenta con políticas donde se establezca a quién reportar las deficiencias de control interno como resultado del monitoreo continuo</v>
      </c>
      <c r="D76" s="131" t="s">
        <v>426</v>
      </c>
      <c r="E76" s="131" t="str">
        <f>+VLOOKUP(A76,'Actividades de Monitoreo'!$B$17:$K$134,3,0)</f>
        <v>Dimension de Control Interno
Lineas de Defensa</v>
      </c>
      <c r="F76" s="131" t="str">
        <f>+VLOOKUP(A76,'Actividades de Monitoreo'!$B$17:$K$134,10,0)</f>
        <v>Mantenimiento del control</v>
      </c>
      <c r="G76" s="131">
        <f>+VLOOKUP(A76,'Actividades de Monitoreo'!$B$13:$N$176,13,0)</f>
        <v>386.56319999999999</v>
      </c>
      <c r="H76" s="133">
        <f t="shared" si="16"/>
        <v>75</v>
      </c>
      <c r="I76" s="131" t="str">
        <f t="shared" si="14"/>
        <v>Cuando en el análisis de los requerimientos en los diferenes componentes del MECI se cuente con aspectos evaluados en nivel 1 (presente) y 1 (funcionando); 2 (presente) y 1 (funcionando).</v>
      </c>
      <c r="J76" s="131" t="s">
        <v>433</v>
      </c>
      <c r="K76" s="131">
        <f>+IF(ISBLANK(VLOOKUP(A76,'Actividades de Monitoreo'!$B$20:$F$134,5,0)),"",VLOOKUP(A76,'Actividades de Monitoreo'!$B$20:$F$134,5,0))</f>
        <v>3</v>
      </c>
      <c r="L76" s="131">
        <f>+IF(ISBLANK(VLOOKUP(A76,'Actividades de Monitoreo'!$B$20:$J$134,9,0)),"",VLOOKUP(A76,'Actividades de Monitoreo'!$B$20:$J$134,9,0))</f>
        <v>3</v>
      </c>
      <c r="M76" s="131">
        <f t="shared" si="15"/>
        <v>1</v>
      </c>
      <c r="N76" s="131">
        <f t="shared" si="17"/>
        <v>1</v>
      </c>
      <c r="O76" s="131"/>
      <c r="P76" s="131"/>
    </row>
    <row r="77" spans="1:16" x14ac:dyDescent="0.2">
      <c r="A77" s="131" t="s">
        <v>436</v>
      </c>
      <c r="B77" s="131" t="str">
        <f t="shared" si="9"/>
        <v>17</v>
      </c>
      <c r="C77" s="131" t="str">
        <f>+MID(VLOOKUP(A77,'Actividades de Monitoreo'!$B$13:$C$176,2,0),6,LEN(VLOOKUP(A77,'Actividades de Monitoreo'!$B$13:$C$176,2,0))-6)</f>
        <v>La Alta Dirección hace seguimiento a las acciones correctivas relacionadas con las deficiencias comunicadas sobre el Sistema de Control Interno y si se han cumplido en el tiempo establecido</v>
      </c>
      <c r="D77" s="131" t="s">
        <v>426</v>
      </c>
      <c r="E77" s="131" t="str">
        <f>+VLOOKUP(A77,'Actividades de Monitoreo'!$B$17:$K$134,3,0)</f>
        <v>Dimension de Control Interno
Lineas de Defensa</v>
      </c>
      <c r="F77" s="131" t="str">
        <f>+VLOOKUP(A77,'Actividades de Monitoreo'!$B$17:$K$134,10,0)</f>
        <v>Mantenimiento del control</v>
      </c>
      <c r="G77" s="131">
        <f>+VLOOKUP(A77,'Actividades de Monitoreo'!$B$13:$N$176,13,0)</f>
        <v>386.78539999999998</v>
      </c>
      <c r="H77" s="133">
        <f t="shared" si="16"/>
        <v>76</v>
      </c>
      <c r="I77" s="131" t="str">
        <f t="shared" si="14"/>
        <v>Cuando en el análisis de los requerimientos en los diferenes componentes del MECI se cuente con aspectos evaluados en nivel 1 (presente) y 1 (funcionando); 2 (presente) y 1 (funcionando).</v>
      </c>
      <c r="J77" s="131" t="s">
        <v>433</v>
      </c>
      <c r="K77" s="131">
        <f>+IF(ISBLANK(VLOOKUP(A77,'Actividades de Monitoreo'!$B$20:$F$134,5,0)),"",VLOOKUP(A77,'Actividades de Monitoreo'!$B$20:$F$134,5,0))</f>
        <v>3</v>
      </c>
      <c r="L77" s="131">
        <f>+IF(ISBLANK(VLOOKUP(A77,'Actividades de Monitoreo'!$B$20:$J$134,9,0)),"",VLOOKUP(A77,'Actividades de Monitoreo'!$B$20:$J$134,9,0))</f>
        <v>3</v>
      </c>
      <c r="M77" s="131">
        <f t="shared" si="15"/>
        <v>1</v>
      </c>
      <c r="N77" s="131">
        <f t="shared" si="17"/>
        <v>1</v>
      </c>
      <c r="O77" s="131"/>
      <c r="P77" s="131"/>
    </row>
    <row r="78" spans="1:16" x14ac:dyDescent="0.2">
      <c r="A78" s="131" t="s">
        <v>437</v>
      </c>
      <c r="B78" s="131" t="str">
        <f t="shared" si="9"/>
        <v>17</v>
      </c>
      <c r="C78" s="131" t="str">
        <f>+MID(VLOOKUP(A78,'Actividades de Monitoreo'!$B$13:$C$176,2,0),6,LEN(VLOOKUP(A78,'Actividades de Monitoreo'!$B$13:$C$176,2,0))-6)</f>
        <v>Los procesos y/o servicios tercerizados, son evaluados acorde con su nivel de riesgos</v>
      </c>
      <c r="D78" s="131" t="s">
        <v>426</v>
      </c>
      <c r="E78" s="131" t="str">
        <f>+VLOOKUP(A78,'Actividades de Monitoreo'!$B$17:$K$134,3,0)</f>
        <v>Dimension de Control Interno
Lineas de Defensa</v>
      </c>
      <c r="F78" s="131" t="str">
        <f>+VLOOKUP(A78,'Actividades de Monitoreo'!$B$17:$K$134,10,0)</f>
        <v>Mantenimiento del control</v>
      </c>
      <c r="G78" s="131">
        <f>+VLOOKUP(A78,'Actividades de Monitoreo'!$B$13:$N$176,13,0)</f>
        <v>386.87450000000001</v>
      </c>
      <c r="H78" s="133">
        <f t="shared" si="16"/>
        <v>77</v>
      </c>
      <c r="I78" s="131" t="str">
        <f t="shared" si="14"/>
        <v>Cuando en el análisis de los requerimientos en los diferenes componentes del MECI se cuente con aspectos evaluados en nivel 1 (presente) y 1 (funcionando); 2 (presente) y 1 (funcionando).</v>
      </c>
      <c r="J78" s="131" t="s">
        <v>433</v>
      </c>
      <c r="K78" s="131">
        <f>+IF(ISBLANK(VLOOKUP(A78,'Actividades de Monitoreo'!$B$20:$F$134,5,0)),"",VLOOKUP(A78,'Actividades de Monitoreo'!$B$20:$F$134,5,0))</f>
        <v>3</v>
      </c>
      <c r="L78" s="131">
        <f>+IF(ISBLANK(VLOOKUP(A78,'Actividades de Monitoreo'!$B$20:$J$134,9,0)),"",VLOOKUP(A78,'Actividades de Monitoreo'!$B$20:$J$134,9,0))</f>
        <v>3</v>
      </c>
      <c r="M78" s="131">
        <f t="shared" si="15"/>
        <v>1</v>
      </c>
      <c r="N78" s="131">
        <f t="shared" si="17"/>
        <v>1</v>
      </c>
      <c r="O78" s="131"/>
      <c r="P78" s="131"/>
    </row>
    <row r="79" spans="1:16" x14ac:dyDescent="0.2">
      <c r="A79" s="131" t="s">
        <v>438</v>
      </c>
      <c r="B79" s="131" t="str">
        <f t="shared" si="9"/>
        <v>17</v>
      </c>
      <c r="C79" s="131" t="str">
        <f>+MID(VLOOKUP(A79,'Actividades de Monitoreo'!$B$13:$C$176,2,0),6,LEN(VLOOKUP(A79,'Actividades de Monitoreo'!$B$13:$C$176,2,0))-6)</f>
        <v>Se evalúa la información suministrada por los usuarios (Sistema PQRD), así como de otras partes interesadas para la mejora del  Sistema de Control Interno de la Entidad</v>
      </c>
      <c r="D79" s="131" t="s">
        <v>426</v>
      </c>
      <c r="E79" s="131" t="str">
        <f>+VLOOKUP(A79,'Actividades de Monitoreo'!$B$17:$K$134,3,0)</f>
        <v xml:space="preserve">
Dimension de Informacion y Comunicación 
Dimension de Control Interno
Lineas de Defensa</v>
      </c>
      <c r="F79" s="131" t="str">
        <f>+VLOOKUP(A79,'Actividades de Monitoreo'!$B$17:$K$134,10,0)</f>
        <v>Mantenimiento del control</v>
      </c>
      <c r="G79" s="131">
        <f>+VLOOKUP(A79,'Actividades de Monitoreo'!$B$13:$N$176,13,0)</f>
        <v>386.98739999999998</v>
      </c>
      <c r="H79" s="133">
        <f t="shared" si="16"/>
        <v>78</v>
      </c>
      <c r="I79" s="131" t="str">
        <f t="shared" si="14"/>
        <v>Cuando en el análisis de los requerimientos en los diferenes componentes del MECI se cuente con aspectos evaluados en nivel 1 (presente) y 1 (funcionando); 2 (presente) y 1 (funcionando).</v>
      </c>
      <c r="J79" s="131" t="s">
        <v>433</v>
      </c>
      <c r="K79" s="131">
        <f>+IF(ISBLANK(VLOOKUP(A79,'Actividades de Monitoreo'!$B$20:$F$134,5,0)),"",VLOOKUP(A79,'Actividades de Monitoreo'!$B$20:$F$134,5,0))</f>
        <v>3</v>
      </c>
      <c r="L79" s="131">
        <f>+IF(ISBLANK(VLOOKUP(A79,'Actividades de Monitoreo'!$B$20:$J$134,9,0)),"",VLOOKUP(A79,'Actividades de Monitoreo'!$B$20:$J$134,9,0))</f>
        <v>3</v>
      </c>
      <c r="M79" s="131">
        <f t="shared" si="15"/>
        <v>1</v>
      </c>
      <c r="N79" s="131">
        <f t="shared" si="17"/>
        <v>1</v>
      </c>
      <c r="O79" s="131"/>
      <c r="P79" s="131"/>
    </row>
    <row r="80" spans="1:16" x14ac:dyDescent="0.2">
      <c r="A80" s="131" t="s">
        <v>439</v>
      </c>
      <c r="B80" s="131" t="str">
        <f t="shared" si="9"/>
        <v>17</v>
      </c>
      <c r="C80" s="131" t="str">
        <f>+MID(VLOOKUP(A80,'Actividades de Monitoreo'!$B$13:$C$176,2,0),6,LEN(VLOOKUP(A80,'Actividades de Monitoreo'!$B$13:$C$176,2,0))-6)</f>
        <v>Verificación del avance y cumplimiento de las acciones incluidas en los planes de mejoramiento producto de las autoevaluaciones. (2ª Línea).</v>
      </c>
      <c r="D80" s="131" t="s">
        <v>426</v>
      </c>
      <c r="E80" s="131" t="str">
        <f>+VLOOKUP(A80,'Actividades de Monitoreo'!$B$17:$K$134,3,0)</f>
        <v xml:space="preserve">
Dimension de Control Interno
Lineas de Defensa</v>
      </c>
      <c r="F80" s="131" t="str">
        <f>+VLOOKUP(A80,'Actividades de Monitoreo'!$B$17:$K$134,10,0)</f>
        <v>Mantenimiento del control</v>
      </c>
      <c r="G80" s="131">
        <f>+VLOOKUP(A80,'Actividades de Monitoreo'!$B$13:$N$176,13,0)</f>
        <v>386.98745000000002</v>
      </c>
      <c r="H80" s="133">
        <f t="shared" si="16"/>
        <v>79</v>
      </c>
      <c r="I80" s="131" t="str">
        <f t="shared" si="14"/>
        <v>Cuando en el análisis de los requerimientos en los diferenes componentes del MECI se cuente con aspectos evaluados en nivel 1 (presente) y 1 (funcionando); 2 (presente) y 1 (funcionando).</v>
      </c>
      <c r="J80" s="131" t="s">
        <v>433</v>
      </c>
      <c r="K80" s="131">
        <f>+IF(ISBLANK(VLOOKUP(A80,'Actividades de Monitoreo'!$B$20:$F$134,5,0)),"",VLOOKUP(A80,'Actividades de Monitoreo'!$B$20:$F$134,5,0))</f>
        <v>3</v>
      </c>
      <c r="L80" s="131">
        <f>+IF(ISBLANK(VLOOKUP(A80,'Actividades de Monitoreo'!$B$20:$J$134,9,0)),"",VLOOKUP(A80,'Actividades de Monitoreo'!$B$20:$J$134,9,0))</f>
        <v>3</v>
      </c>
      <c r="M80" s="131">
        <f t="shared" si="15"/>
        <v>1</v>
      </c>
      <c r="N80" s="131">
        <f t="shared" si="17"/>
        <v>1</v>
      </c>
      <c r="O80" s="131"/>
      <c r="P80" s="131"/>
    </row>
    <row r="81" spans="1:16" x14ac:dyDescent="0.2">
      <c r="A81" s="131" t="s">
        <v>440</v>
      </c>
      <c r="B81" s="131" t="str">
        <f t="shared" si="9"/>
        <v>17</v>
      </c>
      <c r="C81" s="131" t="str">
        <f>+MID(VLOOKUP(A81,'Actividades de Monitoreo'!$B$13:$C$176,2,0),6,LEN(VLOOKUP(A81,'Actividades de Monitoreo'!$B$13:$C$176,2,0))-6)</f>
        <v>Evaluación de la efectividad de las acciones incluidas en los Planes de mejoramiento producto de las auditorías internas y de entes externos. (3ª Línea</v>
      </c>
      <c r="D81" s="131" t="s">
        <v>426</v>
      </c>
      <c r="E81" s="131" t="str">
        <f>+VLOOKUP(A81,'Actividades de Monitoreo'!$B$17:$K$134,3,0)</f>
        <v xml:space="preserve">
Dimension de Control Interno
Lineas de Defensa</v>
      </c>
      <c r="F81" s="131" t="str">
        <f>+VLOOKUP(A81,'Actividades de Monitoreo'!$B$17:$K$134,10,0)</f>
        <v>Mantenimiento del control</v>
      </c>
      <c r="G81" s="131">
        <f>+VLOOKUP(A81,'Actividades de Monitoreo'!$B$13:$N$176,13,0)</f>
        <v>386.98745600000001</v>
      </c>
      <c r="H81" s="133">
        <f t="shared" si="16"/>
        <v>80</v>
      </c>
      <c r="I81" s="131" t="str">
        <f t="shared" si="14"/>
        <v>Cuando en el análisis de los requerimientos en los diferenes componentes del MECI se cuente con aspectos evaluados en nivel 1 (presente) y 1 (funcionando); 2 (presente) y 1 (funcionando).</v>
      </c>
      <c r="J81" s="131" t="s">
        <v>433</v>
      </c>
      <c r="K81" s="131">
        <f>+IF(ISBLANK(VLOOKUP(A81,'Actividades de Monitoreo'!$B$20:$F$134,5,0)),"",VLOOKUP(A81,'Actividades de Monitoreo'!$B$20:$F$134,5,0))</f>
        <v>3</v>
      </c>
      <c r="L81" s="131">
        <f>+IF(ISBLANK(VLOOKUP(A81,'Actividades de Monitoreo'!$B$20:$J$134,9,0)),"",VLOOKUP(A81,'Actividades de Monitoreo'!$B$20:$J$134,9,0))</f>
        <v>3</v>
      </c>
      <c r="M81" s="131">
        <f t="shared" si="15"/>
        <v>1</v>
      </c>
      <c r="N81" s="131">
        <f t="shared" si="17"/>
        <v>1</v>
      </c>
      <c r="O81" s="131"/>
      <c r="P81" s="131"/>
    </row>
    <row r="82" spans="1:16" x14ac:dyDescent="0.2">
      <c r="A82" s="131" t="s">
        <v>441</v>
      </c>
      <c r="B82" s="131" t="str">
        <f t="shared" si="9"/>
        <v>17</v>
      </c>
      <c r="C82" s="131" t="str">
        <f>+MID(VLOOKUP(A82,'Actividades de Monitoreo'!$B$13:$C$176,2,0),6,LEN(VLOOKUP(A82,'Actividades de Monitoreo'!$B$13:$C$176,2,0))-6)</f>
        <v>Las deficiencias de control interno son reportadas a los responsables de nivel jerárquico superior, para tomar la acciones correspondientes</v>
      </c>
      <c r="D82" s="131" t="s">
        <v>426</v>
      </c>
      <c r="E82" s="131" t="str">
        <f>+VLOOKUP(A82,'Actividades de Monitoreo'!$B$17:$K$134,3,0)</f>
        <v xml:space="preserve">
Dimension de Control Interno
Lineas de Defensa</v>
      </c>
      <c r="F82" s="131" t="str">
        <f>+VLOOKUP(A82,'Actividades de Monitoreo'!$B$17:$K$134,10,0)</f>
        <v>Mantenimiento del control</v>
      </c>
      <c r="G82" s="131">
        <f>+VLOOKUP(A82,'Actividades de Monitoreo'!$B$13:$N$176,13,0)</f>
        <v>387.01229999999998</v>
      </c>
      <c r="H82" s="133">
        <f t="shared" si="16"/>
        <v>81</v>
      </c>
      <c r="I82" s="131" t="str">
        <f t="shared" si="14"/>
        <v>Cuando en el análisis de los requerimientos en los diferenes componentes del MECI se cuente con aspectos evaluados en nivel 1 (presente) y 1 (funcionando); 2 (presente) y 1 (funcionando).</v>
      </c>
      <c r="J82" s="131" t="s">
        <v>433</v>
      </c>
      <c r="K82" s="131">
        <f>+IF(ISBLANK(VLOOKUP(A82,'Actividades de Monitoreo'!$B$20:$F$134,5,0)),"",VLOOKUP(A82,'Actividades de Monitoreo'!$B$20:$F$134,5,0))</f>
        <v>3</v>
      </c>
      <c r="L82" s="131">
        <f>+IF(ISBLANK(VLOOKUP(A82,'Actividades de Monitoreo'!$B$20:$J$134,9,0)),"",VLOOKUP(A82,'Actividades de Monitoreo'!$B$20:$J$134,9,0))</f>
        <v>3</v>
      </c>
      <c r="M82" s="131">
        <f t="shared" si="15"/>
        <v>1</v>
      </c>
      <c r="N82" s="131">
        <f t="shared" si="17"/>
        <v>1</v>
      </c>
      <c r="O82" s="131"/>
      <c r="P82" s="131"/>
    </row>
  </sheetData>
  <sheetProtection password="D72A"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39"/>
  <sheetViews>
    <sheetView showGridLines="0" workbookViewId="0">
      <pane xSplit="1" ySplit="4" topLeftCell="B25" activePane="bottomRight" state="frozen"/>
      <selection pane="topRight" activeCell="B1" sqref="B1"/>
      <selection pane="bottomLeft" activeCell="A11" sqref="A11"/>
      <selection pane="bottomRight" activeCell="C25" sqref="C25"/>
    </sheetView>
  </sheetViews>
  <sheetFormatPr baseColWidth="10" defaultColWidth="11.42578125" defaultRowHeight="16.5" x14ac:dyDescent="0.3"/>
  <cols>
    <col min="1" max="1" width="3.42578125" style="17" customWidth="1"/>
    <col min="2" max="2" width="36.42578125" style="17" customWidth="1"/>
    <col min="3" max="3" width="67.140625" style="21" customWidth="1"/>
    <col min="4" max="16384" width="11.42578125" style="17"/>
  </cols>
  <sheetData>
    <row r="2" spans="2:12" x14ac:dyDescent="0.3">
      <c r="B2" s="387" t="s">
        <v>38</v>
      </c>
      <c r="C2" s="387"/>
      <c r="D2" s="16"/>
      <c r="E2" s="16"/>
      <c r="F2" s="16"/>
      <c r="G2" s="16"/>
      <c r="H2" s="16"/>
      <c r="I2" s="16"/>
      <c r="J2" s="16"/>
      <c r="K2" s="16"/>
      <c r="L2" s="16"/>
    </row>
    <row r="4" spans="2:12" x14ac:dyDescent="0.3">
      <c r="B4" s="22" t="s">
        <v>39</v>
      </c>
      <c r="C4" s="23" t="s">
        <v>5</v>
      </c>
    </row>
    <row r="5" spans="2:12" ht="66" x14ac:dyDescent="0.3">
      <c r="B5" s="72" t="s">
        <v>40</v>
      </c>
      <c r="C5" s="18" t="s">
        <v>41</v>
      </c>
    </row>
    <row r="6" spans="2:12" ht="46.5" customHeight="1" x14ac:dyDescent="0.3">
      <c r="B6" s="73" t="s">
        <v>42</v>
      </c>
      <c r="C6" s="19" t="s">
        <v>43</v>
      </c>
    </row>
    <row r="7" spans="2:12" ht="66" x14ac:dyDescent="0.3">
      <c r="B7" s="74" t="s">
        <v>44</v>
      </c>
      <c r="C7" s="20" t="s">
        <v>45</v>
      </c>
    </row>
    <row r="8" spans="2:12" ht="49.5" x14ac:dyDescent="0.3">
      <c r="B8" s="75" t="s">
        <v>46</v>
      </c>
      <c r="C8" s="20" t="s">
        <v>47</v>
      </c>
    </row>
    <row r="9" spans="2:12" ht="49.5" x14ac:dyDescent="0.3">
      <c r="B9" s="75" t="s">
        <v>48</v>
      </c>
      <c r="C9" s="20" t="s">
        <v>49</v>
      </c>
    </row>
    <row r="10" spans="2:12" x14ac:dyDescent="0.3">
      <c r="B10" s="74" t="s">
        <v>50</v>
      </c>
      <c r="C10" s="20" t="s">
        <v>51</v>
      </c>
    </row>
    <row r="11" spans="2:12" ht="132" x14ac:dyDescent="0.3">
      <c r="B11" s="74" t="s">
        <v>52</v>
      </c>
      <c r="C11" s="20" t="s">
        <v>53</v>
      </c>
    </row>
    <row r="12" spans="2:12" ht="66" x14ac:dyDescent="0.3">
      <c r="B12" s="74" t="s">
        <v>54</v>
      </c>
      <c r="C12" s="20" t="s">
        <v>55</v>
      </c>
    </row>
    <row r="13" spans="2:12" ht="49.5" x14ac:dyDescent="0.3">
      <c r="B13" s="74" t="s">
        <v>56</v>
      </c>
      <c r="C13" s="20" t="s">
        <v>57</v>
      </c>
    </row>
    <row r="14" spans="2:12" ht="49.5" x14ac:dyDescent="0.3">
      <c r="B14" s="75" t="s">
        <v>58</v>
      </c>
      <c r="C14" s="71" t="s">
        <v>59</v>
      </c>
    </row>
    <row r="15" spans="2:12" ht="33" x14ac:dyDescent="0.3">
      <c r="B15" s="75" t="s">
        <v>60</v>
      </c>
      <c r="C15" s="71" t="s">
        <v>61</v>
      </c>
    </row>
    <row r="16" spans="2:12" ht="66" x14ac:dyDescent="0.3">
      <c r="B16" s="75" t="s">
        <v>62</v>
      </c>
      <c r="C16" s="71" t="s">
        <v>63</v>
      </c>
    </row>
    <row r="17" spans="2:3" ht="33" x14ac:dyDescent="0.3">
      <c r="B17" s="75" t="s">
        <v>64</v>
      </c>
      <c r="C17" s="71" t="s">
        <v>65</v>
      </c>
    </row>
    <row r="18" spans="2:3" x14ac:dyDescent="0.3">
      <c r="B18" s="75" t="s">
        <v>66</v>
      </c>
      <c r="C18" s="71" t="s">
        <v>67</v>
      </c>
    </row>
    <row r="19" spans="2:3" ht="33" x14ac:dyDescent="0.3">
      <c r="B19" s="75" t="s">
        <v>68</v>
      </c>
      <c r="C19" s="71" t="s">
        <v>69</v>
      </c>
    </row>
    <row r="20" spans="2:3" ht="33" x14ac:dyDescent="0.3">
      <c r="B20" s="74" t="s">
        <v>70</v>
      </c>
      <c r="C20" s="20" t="s">
        <v>71</v>
      </c>
    </row>
    <row r="21" spans="2:3" ht="66" x14ac:dyDescent="0.3">
      <c r="B21" s="74" t="s">
        <v>72</v>
      </c>
      <c r="C21" s="20" t="s">
        <v>73</v>
      </c>
    </row>
    <row r="22" spans="2:3" ht="82.5" x14ac:dyDescent="0.3">
      <c r="B22" s="74" t="s">
        <v>74</v>
      </c>
      <c r="C22" s="20" t="s">
        <v>75</v>
      </c>
    </row>
    <row r="23" spans="2:3" ht="66" x14ac:dyDescent="0.3">
      <c r="B23" s="74" t="s">
        <v>76</v>
      </c>
      <c r="C23" s="20" t="s">
        <v>77</v>
      </c>
    </row>
    <row r="24" spans="2:3" ht="99" x14ac:dyDescent="0.3">
      <c r="B24" s="74" t="s">
        <v>78</v>
      </c>
      <c r="C24" s="20" t="s">
        <v>79</v>
      </c>
    </row>
    <row r="25" spans="2:3" ht="33" x14ac:dyDescent="0.3">
      <c r="B25" s="74" t="s">
        <v>80</v>
      </c>
      <c r="C25" s="20" t="s">
        <v>81</v>
      </c>
    </row>
    <row r="26" spans="2:3" ht="33" x14ac:dyDescent="0.3">
      <c r="B26" s="75" t="s">
        <v>82</v>
      </c>
      <c r="C26" s="71" t="s">
        <v>83</v>
      </c>
    </row>
    <row r="27" spans="2:3" ht="33" x14ac:dyDescent="0.3">
      <c r="B27" s="75" t="s">
        <v>84</v>
      </c>
      <c r="C27" s="71" t="s">
        <v>85</v>
      </c>
    </row>
    <row r="28" spans="2:3" ht="49.5" x14ac:dyDescent="0.3">
      <c r="B28" s="75" t="s">
        <v>27</v>
      </c>
      <c r="C28" s="71" t="s">
        <v>86</v>
      </c>
    </row>
    <row r="29" spans="2:3" ht="33" x14ac:dyDescent="0.3">
      <c r="B29" s="74" t="s">
        <v>87</v>
      </c>
      <c r="C29" s="20" t="s">
        <v>88</v>
      </c>
    </row>
    <row r="30" spans="2:3" ht="33" x14ac:dyDescent="0.3">
      <c r="B30" s="74" t="s">
        <v>89</v>
      </c>
      <c r="C30" s="20" t="s">
        <v>90</v>
      </c>
    </row>
    <row r="31" spans="2:3" ht="33" x14ac:dyDescent="0.3">
      <c r="B31" s="74" t="s">
        <v>91</v>
      </c>
      <c r="C31" s="20" t="s">
        <v>92</v>
      </c>
    </row>
    <row r="32" spans="2:3" ht="49.5" x14ac:dyDescent="0.3">
      <c r="B32" s="74" t="s">
        <v>93</v>
      </c>
      <c r="C32" s="20" t="s">
        <v>94</v>
      </c>
    </row>
    <row r="33" spans="2:3" ht="33" x14ac:dyDescent="0.3">
      <c r="B33" s="74" t="s">
        <v>95</v>
      </c>
      <c r="C33" s="20" t="s">
        <v>96</v>
      </c>
    </row>
    <row r="34" spans="2:3" ht="33" x14ac:dyDescent="0.3">
      <c r="B34" s="74" t="s">
        <v>97</v>
      </c>
      <c r="C34" s="20" t="s">
        <v>98</v>
      </c>
    </row>
    <row r="35" spans="2:3" ht="33" x14ac:dyDescent="0.3">
      <c r="B35" s="74" t="s">
        <v>99</v>
      </c>
      <c r="C35" s="20" t="s">
        <v>100</v>
      </c>
    </row>
    <row r="36" spans="2:3" ht="49.5" x14ac:dyDescent="0.3">
      <c r="B36" s="74" t="s">
        <v>101</v>
      </c>
      <c r="C36" s="20" t="s">
        <v>102</v>
      </c>
    </row>
    <row r="37" spans="2:3" ht="49.5" x14ac:dyDescent="0.3">
      <c r="B37" s="74" t="s">
        <v>103</v>
      </c>
      <c r="C37" s="20" t="s">
        <v>104</v>
      </c>
    </row>
    <row r="38" spans="2:3" ht="49.5" x14ac:dyDescent="0.3">
      <c r="B38" s="75" t="s">
        <v>105</v>
      </c>
      <c r="C38" s="71" t="s">
        <v>106</v>
      </c>
    </row>
    <row r="39" spans="2:3" ht="82.5" customHeight="1" x14ac:dyDescent="0.3">
      <c r="B39" s="75" t="s">
        <v>107</v>
      </c>
      <c r="C39" s="71" t="s">
        <v>108</v>
      </c>
    </row>
  </sheetData>
  <sortState xmlns:xlrd2="http://schemas.microsoft.com/office/spreadsheetml/2017/richdata2" ref="B5:C37">
    <sortCondition ref="B5:B37"/>
  </sortState>
  <mergeCells count="1">
    <mergeCell ref="B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4:O352"/>
  <sheetViews>
    <sheetView showGridLines="0" tabSelected="1" topLeftCell="A4" zoomScaleNormal="90" workbookViewId="0">
      <selection activeCell="D145" sqref="D145:D152"/>
    </sheetView>
  </sheetViews>
  <sheetFormatPr baseColWidth="10" defaultColWidth="3.140625" defaultRowHeight="0" customHeight="1" zeroHeight="1" x14ac:dyDescent="0.3"/>
  <cols>
    <col min="1" max="1" width="11.7109375" style="10" customWidth="1"/>
    <col min="2" max="2" width="3.42578125" style="10" hidden="1" customWidth="1"/>
    <col min="3" max="3" width="42.42578125" style="10" customWidth="1"/>
    <col min="4" max="4" width="36.140625" style="10" customWidth="1"/>
    <col min="5" max="5" width="41.140625" style="168" customWidth="1"/>
    <col min="6" max="6" width="8.140625" style="10" customWidth="1"/>
    <col min="7" max="7" width="3.42578125" style="10" bestFit="1" customWidth="1"/>
    <col min="8" max="9" width="39.85546875" style="10" customWidth="1"/>
    <col min="10" max="10" width="7.42578125" style="10" customWidth="1"/>
    <col min="11" max="11" width="19" style="10" customWidth="1"/>
    <col min="12" max="12" width="3.140625" style="39" customWidth="1"/>
    <col min="13" max="13" width="7.28515625" style="39" customWidth="1"/>
    <col min="14" max="14" width="12.28515625" style="67" customWidth="1"/>
    <col min="15" max="15" width="12.28515625" style="101" customWidth="1"/>
    <col min="16" max="16364" width="3.140625" style="10" customWidth="1"/>
    <col min="16365" max="16384" width="3.140625" style="10"/>
  </cols>
  <sheetData>
    <row r="4" spans="5:10" ht="9.9499999999999993" customHeight="1" x14ac:dyDescent="0.3"/>
    <row r="5" spans="5:10" ht="9.9499999999999993" customHeight="1" x14ac:dyDescent="0.3"/>
    <row r="6" spans="5:10" ht="9.9499999999999993" customHeight="1" x14ac:dyDescent="0.3"/>
    <row r="7" spans="5:10" ht="9.9499999999999993" customHeight="1" x14ac:dyDescent="0.3"/>
    <row r="8" spans="5:10" ht="9.9499999999999993" customHeight="1" x14ac:dyDescent="0.3"/>
    <row r="9" spans="5:10" ht="9.9499999999999993" customHeight="1" x14ac:dyDescent="0.3"/>
    <row r="10" spans="5:10" ht="9.9499999999999993" customHeight="1" x14ac:dyDescent="0.3"/>
    <row r="11" spans="5:10" ht="9.9499999999999993" customHeight="1" x14ac:dyDescent="0.3"/>
    <row r="12" spans="5:10" ht="9.9499999999999993" customHeight="1" x14ac:dyDescent="0.3"/>
    <row r="13" spans="5:10" ht="9.9499999999999993" customHeight="1" x14ac:dyDescent="0.3">
      <c r="E13" s="291"/>
      <c r="F13" s="292"/>
      <c r="G13" s="292"/>
      <c r="H13" s="292"/>
      <c r="I13" s="292"/>
      <c r="J13" s="292"/>
    </row>
    <row r="14" spans="5:10" ht="31.5" customHeight="1" x14ac:dyDescent="0.3">
      <c r="E14" s="291"/>
      <c r="F14" s="292"/>
      <c r="G14" s="292"/>
      <c r="H14" s="292"/>
      <c r="I14" s="292"/>
      <c r="J14" s="292"/>
    </row>
    <row r="15" spans="5:10" ht="24.75" customHeight="1" x14ac:dyDescent="0.3">
      <c r="E15" s="169"/>
      <c r="F15" s="293"/>
      <c r="G15" s="293"/>
      <c r="H15" s="293"/>
      <c r="I15" s="293"/>
      <c r="J15" s="293"/>
    </row>
    <row r="16" spans="5:10" ht="20.25" customHeight="1" x14ac:dyDescent="0.3"/>
    <row r="17" spans="1:15" ht="9.9499999999999993" customHeight="1" x14ac:dyDescent="0.3"/>
    <row r="18" spans="1:15" ht="20.100000000000001" customHeight="1" x14ac:dyDescent="0.3">
      <c r="C18" s="331" t="s">
        <v>109</v>
      </c>
      <c r="D18" s="331"/>
      <c r="E18" s="331"/>
      <c r="F18" s="331"/>
      <c r="G18" s="331"/>
      <c r="H18" s="331"/>
      <c r="I18" s="331"/>
      <c r="J18" s="331"/>
      <c r="K18" s="331"/>
    </row>
    <row r="19" spans="1:15" ht="60" customHeight="1" x14ac:dyDescent="0.3">
      <c r="C19" s="332" t="s">
        <v>110</v>
      </c>
      <c r="D19" s="332"/>
      <c r="E19" s="332"/>
      <c r="F19" s="332"/>
      <c r="G19" s="332"/>
      <c r="H19" s="332"/>
      <c r="I19" s="332"/>
      <c r="J19" s="332"/>
      <c r="K19" s="332"/>
    </row>
    <row r="20" spans="1:15" ht="9.9499999999999993" customHeight="1" thickBot="1" x14ac:dyDescent="0.35">
      <c r="B20" s="11"/>
      <c r="C20" s="11"/>
      <c r="D20" s="11"/>
      <c r="F20" s="12"/>
    </row>
    <row r="21" spans="1:15" ht="36.75" customHeight="1" x14ac:dyDescent="0.3">
      <c r="B21" s="276" t="s">
        <v>111</v>
      </c>
      <c r="C21" s="278" t="s">
        <v>112</v>
      </c>
      <c r="D21" s="260" t="s">
        <v>8</v>
      </c>
      <c r="E21" s="330" t="s">
        <v>113</v>
      </c>
      <c r="F21" s="281" t="s">
        <v>114</v>
      </c>
      <c r="G21" s="297" t="s">
        <v>115</v>
      </c>
      <c r="H21" s="298"/>
      <c r="I21" s="299"/>
      <c r="J21" s="281" t="s">
        <v>116</v>
      </c>
      <c r="K21" s="281" t="s">
        <v>117</v>
      </c>
      <c r="L21" s="270"/>
      <c r="M21" s="270"/>
      <c r="N21" s="220"/>
      <c r="O21" s="222"/>
    </row>
    <row r="22" spans="1:15" ht="29.25" customHeight="1" x14ac:dyDescent="0.3">
      <c r="B22" s="276"/>
      <c r="C22" s="278"/>
      <c r="D22" s="261"/>
      <c r="E22" s="261"/>
      <c r="F22" s="281"/>
      <c r="G22" s="294" t="s">
        <v>13</v>
      </c>
      <c r="H22" s="296" t="s">
        <v>15</v>
      </c>
      <c r="I22" s="260" t="s">
        <v>17</v>
      </c>
      <c r="J22" s="281"/>
      <c r="K22" s="281"/>
      <c r="L22" s="270"/>
      <c r="M22" s="270"/>
      <c r="N22" s="220"/>
      <c r="O22" s="222"/>
    </row>
    <row r="23" spans="1:15" ht="79.5" customHeight="1" x14ac:dyDescent="0.3">
      <c r="B23" s="277"/>
      <c r="C23" s="279"/>
      <c r="D23" s="261"/>
      <c r="E23" s="261"/>
      <c r="F23" s="282"/>
      <c r="G23" s="295"/>
      <c r="H23" s="260"/>
      <c r="I23" s="261"/>
      <c r="J23" s="282"/>
      <c r="K23" s="282"/>
      <c r="L23" s="270"/>
      <c r="M23" s="270"/>
      <c r="N23" s="220"/>
      <c r="O23" s="222"/>
    </row>
    <row r="24" spans="1:15" ht="92.25" customHeight="1" x14ac:dyDescent="0.3">
      <c r="A24" s="336" t="s">
        <v>118</v>
      </c>
      <c r="B24" s="275" t="str">
        <f>+LEFT(C24,3)</f>
        <v xml:space="preserve"> Ap</v>
      </c>
      <c r="C24" s="300" t="s">
        <v>119</v>
      </c>
      <c r="D24" s="300" t="s">
        <v>120</v>
      </c>
      <c r="E24" s="327" t="s">
        <v>121</v>
      </c>
      <c r="F24" s="323">
        <v>1</v>
      </c>
      <c r="G24" s="87">
        <v>1</v>
      </c>
      <c r="H24" s="144" t="s">
        <v>122</v>
      </c>
      <c r="I24" s="300" t="s">
        <v>123</v>
      </c>
      <c r="J24" s="323">
        <v>2</v>
      </c>
      <c r="K24" s="283" t="str">
        <f>+IF(OR(ISBLANK(F24),ISBLANK(J24)),"",IF(OR(AND(F24=1,J24=1),AND(F24=1,J24=2),AND(F24=1,J24=3)),"Deficiencia de control mayor (diseño y ejecución)",IF(OR(AND(F24=2,J24=2),AND(F24=3,J24=1),AND(F24=3,J24=2),AND(F24=2,J24=1)),"Deficiencia de control (diseño o ejecución)",IF(AND(F24=2,J24=3),"Oportunidad de mejora","Mantenimiento del control"))))</f>
        <v>Deficiencia de control mayor (diseño y ejecución)</v>
      </c>
      <c r="L24" s="268"/>
      <c r="M24" s="268"/>
      <c r="N24" s="210"/>
      <c r="O24" s="221"/>
    </row>
    <row r="25" spans="1:15" ht="79.5" customHeight="1" x14ac:dyDescent="0.3">
      <c r="A25" s="336"/>
      <c r="B25" s="275"/>
      <c r="C25" s="300"/>
      <c r="D25" s="300"/>
      <c r="E25" s="327"/>
      <c r="F25" s="323"/>
      <c r="G25" s="87">
        <v>2</v>
      </c>
      <c r="H25" s="144" t="s">
        <v>124</v>
      </c>
      <c r="I25" s="300"/>
      <c r="J25" s="323"/>
      <c r="K25" s="283"/>
      <c r="L25" s="268"/>
      <c r="M25" s="268"/>
      <c r="N25" s="210"/>
      <c r="O25" s="221"/>
    </row>
    <row r="26" spans="1:15" ht="75" customHeight="1" x14ac:dyDescent="0.3">
      <c r="A26" s="336"/>
      <c r="B26" s="275"/>
      <c r="C26" s="300"/>
      <c r="D26" s="300"/>
      <c r="E26" s="327"/>
      <c r="F26" s="323"/>
      <c r="G26" s="87">
        <v>3</v>
      </c>
      <c r="H26" s="144" t="s">
        <v>125</v>
      </c>
      <c r="I26" s="300"/>
      <c r="J26" s="323"/>
      <c r="K26" s="283"/>
      <c r="L26" s="268"/>
      <c r="M26" s="268"/>
      <c r="N26" s="210"/>
      <c r="O26" s="221"/>
    </row>
    <row r="27" spans="1:15" ht="16.5" x14ac:dyDescent="0.3">
      <c r="A27" s="336"/>
      <c r="B27" s="275"/>
      <c r="C27" s="300"/>
      <c r="D27" s="300"/>
      <c r="E27" s="327"/>
      <c r="F27" s="323"/>
      <c r="G27" s="87">
        <v>4</v>
      </c>
      <c r="H27" s="88"/>
      <c r="I27" s="300"/>
      <c r="J27" s="323"/>
      <c r="K27" s="283"/>
      <c r="L27" s="268"/>
      <c r="M27" s="268"/>
      <c r="N27" s="210"/>
      <c r="O27" s="221"/>
    </row>
    <row r="28" spans="1:15" ht="16.5" x14ac:dyDescent="0.3">
      <c r="A28" s="336"/>
      <c r="B28" s="275"/>
      <c r="C28" s="300"/>
      <c r="D28" s="300"/>
      <c r="E28" s="327"/>
      <c r="F28" s="323"/>
      <c r="G28" s="87">
        <v>5</v>
      </c>
      <c r="H28" s="88"/>
      <c r="I28" s="300"/>
      <c r="J28" s="323"/>
      <c r="K28" s="283"/>
      <c r="L28" s="268"/>
      <c r="M28" s="268"/>
      <c r="N28" s="210"/>
      <c r="O28" s="221"/>
    </row>
    <row r="29" spans="1:15" ht="16.5" x14ac:dyDescent="0.3">
      <c r="A29" s="336"/>
      <c r="B29" s="275"/>
      <c r="C29" s="300"/>
      <c r="D29" s="300"/>
      <c r="E29" s="327"/>
      <c r="F29" s="323"/>
      <c r="G29" s="87">
        <v>6</v>
      </c>
      <c r="H29" s="88"/>
      <c r="I29" s="300"/>
      <c r="J29" s="323"/>
      <c r="K29" s="283"/>
      <c r="L29" s="268"/>
      <c r="M29" s="268"/>
      <c r="N29" s="210"/>
      <c r="O29" s="221"/>
    </row>
    <row r="30" spans="1:15" ht="16.5" x14ac:dyDescent="0.3">
      <c r="A30" s="336"/>
      <c r="B30" s="275"/>
      <c r="C30" s="300"/>
      <c r="D30" s="300"/>
      <c r="E30" s="327"/>
      <c r="F30" s="323"/>
      <c r="G30" s="87">
        <v>7</v>
      </c>
      <c r="H30" s="88"/>
      <c r="I30" s="300"/>
      <c r="J30" s="323"/>
      <c r="K30" s="283"/>
      <c r="L30" s="268"/>
      <c r="M30" s="268"/>
      <c r="N30" s="210"/>
      <c r="O30" s="221"/>
    </row>
    <row r="31" spans="1:15" ht="120" customHeight="1" x14ac:dyDescent="0.3">
      <c r="A31" s="336"/>
      <c r="B31" s="275"/>
      <c r="C31" s="300"/>
      <c r="D31" s="300"/>
      <c r="E31" s="327"/>
      <c r="F31" s="323"/>
      <c r="G31" s="87">
        <v>8</v>
      </c>
      <c r="H31" s="88"/>
      <c r="I31" s="300"/>
      <c r="J31" s="323"/>
      <c r="K31" s="283"/>
      <c r="L31" s="268"/>
      <c r="M31" s="268"/>
      <c r="N31" s="210"/>
      <c r="O31" s="221"/>
    </row>
    <row r="32" spans="1:15" ht="33" x14ac:dyDescent="0.3">
      <c r="B32" s="280" t="str">
        <f>+LEFT(C32,3)</f>
        <v>1.1</v>
      </c>
      <c r="C32" s="280" t="s">
        <v>126</v>
      </c>
      <c r="D32" s="316" t="s">
        <v>120</v>
      </c>
      <c r="E32" s="232" t="s">
        <v>481</v>
      </c>
      <c r="F32" s="334">
        <v>3</v>
      </c>
      <c r="G32" s="104">
        <v>1</v>
      </c>
      <c r="H32" s="206" t="s">
        <v>484</v>
      </c>
      <c r="I32" s="328" t="s">
        <v>487</v>
      </c>
      <c r="J32" s="238">
        <v>3</v>
      </c>
      <c r="K32" s="337" t="str">
        <f t="shared" ref="K32" si="0">+IF(OR(ISBLANK(F32),ISBLANK(J32)),"",IF(OR(AND(F32=1,J32=1),AND(F32=1,J32=2),AND(F32=1,J32=3)),"Deficiencia de control mayor (diseño y ejecución)",IF(OR(AND(F32=2,J32=2),AND(F32=3,J32=1),AND(F32=3,J32=2),AND(F32=2,J32=1)),"Deficiencia de control (diseño o ejecución)",IF(AND(F32=2,J32=3),"Oportunidad de mejora","Mantenimiento del control"))))</f>
        <v>Mantenimiento del control</v>
      </c>
      <c r="L32" s="268">
        <f>+IF(K32="",0,IF(K32="Deficiencia de control mayor (diseño y ejecución)",4,IF(K32="Deficiencia de control (diseño o ejecución)",20,IF(K32="Oportunidad de mejora",40,60))))</f>
        <v>60</v>
      </c>
      <c r="M32" s="268">
        <v>4.5870000000000001E-2</v>
      </c>
      <c r="N32" s="210">
        <f>+L32+M32</f>
        <v>60.045870000000001</v>
      </c>
      <c r="O32" s="221"/>
    </row>
    <row r="33" spans="2:15" ht="16.5" x14ac:dyDescent="0.3">
      <c r="B33" s="250"/>
      <c r="C33" s="250"/>
      <c r="D33" s="316"/>
      <c r="E33" s="232"/>
      <c r="F33" s="334"/>
      <c r="G33" s="105">
        <v>2</v>
      </c>
      <c r="H33" s="106"/>
      <c r="I33" s="328"/>
      <c r="J33" s="238"/>
      <c r="K33" s="285"/>
      <c r="L33" s="268"/>
      <c r="M33" s="268"/>
      <c r="N33" s="210"/>
      <c r="O33" s="221"/>
    </row>
    <row r="34" spans="2:15" ht="16.5" x14ac:dyDescent="0.3">
      <c r="B34" s="250"/>
      <c r="C34" s="250"/>
      <c r="D34" s="316"/>
      <c r="E34" s="232"/>
      <c r="F34" s="334"/>
      <c r="G34" s="105">
        <v>3</v>
      </c>
      <c r="H34" s="107"/>
      <c r="I34" s="328"/>
      <c r="J34" s="238"/>
      <c r="K34" s="285"/>
      <c r="L34" s="268"/>
      <c r="M34" s="268"/>
      <c r="N34" s="210"/>
      <c r="O34" s="221"/>
    </row>
    <row r="35" spans="2:15" ht="16.5" x14ac:dyDescent="0.3">
      <c r="B35" s="250"/>
      <c r="C35" s="250"/>
      <c r="D35" s="316"/>
      <c r="E35" s="232"/>
      <c r="F35" s="334"/>
      <c r="G35" s="105">
        <v>4</v>
      </c>
      <c r="H35" s="107"/>
      <c r="I35" s="328"/>
      <c r="J35" s="238"/>
      <c r="K35" s="285"/>
      <c r="L35" s="268"/>
      <c r="M35" s="268"/>
      <c r="N35" s="210"/>
      <c r="O35" s="221"/>
    </row>
    <row r="36" spans="2:15" ht="16.5" x14ac:dyDescent="0.3">
      <c r="B36" s="250"/>
      <c r="C36" s="250"/>
      <c r="D36" s="316"/>
      <c r="E36" s="232"/>
      <c r="F36" s="334"/>
      <c r="G36" s="105">
        <v>5</v>
      </c>
      <c r="H36" s="107"/>
      <c r="I36" s="328"/>
      <c r="J36" s="238"/>
      <c r="K36" s="285"/>
      <c r="L36" s="268"/>
      <c r="M36" s="268"/>
      <c r="N36" s="210"/>
      <c r="O36" s="221"/>
    </row>
    <row r="37" spans="2:15" ht="16.5" x14ac:dyDescent="0.3">
      <c r="B37" s="250"/>
      <c r="C37" s="250"/>
      <c r="D37" s="316"/>
      <c r="E37" s="232"/>
      <c r="F37" s="334"/>
      <c r="G37" s="105">
        <v>6</v>
      </c>
      <c r="H37" s="107"/>
      <c r="I37" s="328"/>
      <c r="J37" s="238"/>
      <c r="K37" s="285"/>
      <c r="L37" s="268"/>
      <c r="M37" s="268"/>
      <c r="N37" s="210"/>
      <c r="O37" s="221"/>
    </row>
    <row r="38" spans="2:15" ht="16.5" x14ac:dyDescent="0.3">
      <c r="B38" s="250"/>
      <c r="C38" s="250"/>
      <c r="D38" s="316"/>
      <c r="E38" s="232"/>
      <c r="F38" s="334"/>
      <c r="G38" s="105">
        <v>7</v>
      </c>
      <c r="H38" s="107"/>
      <c r="I38" s="328"/>
      <c r="J38" s="238"/>
      <c r="K38" s="285"/>
      <c r="L38" s="268"/>
      <c r="M38" s="268"/>
      <c r="N38" s="210"/>
      <c r="O38" s="221"/>
    </row>
    <row r="39" spans="2:15" ht="17.25" customHeight="1" thickBot="1" x14ac:dyDescent="0.35">
      <c r="B39" s="251"/>
      <c r="C39" s="251"/>
      <c r="D39" s="317"/>
      <c r="E39" s="233"/>
      <c r="F39" s="335"/>
      <c r="G39" s="108">
        <v>8</v>
      </c>
      <c r="H39" s="141"/>
      <c r="I39" s="329"/>
      <c r="J39" s="239"/>
      <c r="K39" s="286"/>
      <c r="L39" s="268"/>
      <c r="M39" s="268"/>
      <c r="N39" s="210"/>
      <c r="O39" s="221"/>
    </row>
    <row r="40" spans="2:15" ht="84.75" customHeight="1" x14ac:dyDescent="0.3">
      <c r="B40" s="249" t="str">
        <f>+LEFT(C40,3)</f>
        <v>1.2</v>
      </c>
      <c r="C40" s="249" t="s">
        <v>127</v>
      </c>
      <c r="D40" s="315" t="s">
        <v>120</v>
      </c>
      <c r="E40" s="324" t="s">
        <v>482</v>
      </c>
      <c r="F40" s="234">
        <v>3</v>
      </c>
      <c r="G40" s="104">
        <v>1</v>
      </c>
      <c r="H40" s="148" t="s">
        <v>485</v>
      </c>
      <c r="I40" s="231" t="s">
        <v>488</v>
      </c>
      <c r="J40" s="255">
        <v>3</v>
      </c>
      <c r="K40" s="284" t="str">
        <f t="shared" ref="K40" si="1">+IF(OR(ISBLANK(F40),ISBLANK(J40)),"",IF(OR(AND(F40=1,J40=1),AND(F40=1,J40=2),AND(F40=1,J40=3)),"Deficiencia de control mayor (diseño y ejecución)",IF(OR(AND(F40=2,J40=2),AND(F40=3,J40=1),AND(F40=3,J40=2),AND(F40=2,J40=1)),"Deficiencia de control (diseño o ejecución)",IF(AND(F40=2,J40=3),"Oportunidad de mejora","Mantenimiento del control"))))</f>
        <v>Mantenimiento del control</v>
      </c>
      <c r="L40" s="268">
        <f t="shared" ref="L40" si="2">+IF(K40="",0,IF(K40="Deficiencia de control mayor (diseño y ejecución)",4,IF(K40="Deficiencia de control (diseño o ejecución)",20,IF(K40="Oportunidad de mejora",40,60))))</f>
        <v>60</v>
      </c>
      <c r="M40" s="268">
        <v>5.5690000000000003E-2</v>
      </c>
      <c r="N40" s="210">
        <f t="shared" ref="N40" si="3">+L40+M40</f>
        <v>60.055689999999998</v>
      </c>
      <c r="O40" s="221"/>
    </row>
    <row r="41" spans="2:15" ht="16.5" x14ac:dyDescent="0.3">
      <c r="B41" s="250"/>
      <c r="C41" s="250"/>
      <c r="D41" s="316"/>
      <c r="E41" s="325"/>
      <c r="F41" s="235"/>
      <c r="G41" s="105">
        <v>2</v>
      </c>
      <c r="H41" s="149"/>
      <c r="I41" s="232"/>
      <c r="J41" s="256"/>
      <c r="K41" s="285"/>
      <c r="L41" s="268"/>
      <c r="M41" s="268"/>
      <c r="N41" s="210"/>
      <c r="O41" s="221"/>
    </row>
    <row r="42" spans="2:15" ht="16.5" x14ac:dyDescent="0.3">
      <c r="B42" s="250"/>
      <c r="C42" s="250"/>
      <c r="D42" s="316"/>
      <c r="E42" s="325"/>
      <c r="F42" s="235"/>
      <c r="G42" s="105">
        <v>3</v>
      </c>
      <c r="H42" s="140"/>
      <c r="I42" s="232"/>
      <c r="J42" s="256"/>
      <c r="K42" s="285"/>
      <c r="L42" s="268"/>
      <c r="M42" s="268"/>
      <c r="N42" s="210"/>
      <c r="O42" s="221"/>
    </row>
    <row r="43" spans="2:15" ht="16.5" x14ac:dyDescent="0.3">
      <c r="B43" s="250"/>
      <c r="C43" s="250"/>
      <c r="D43" s="316"/>
      <c r="E43" s="325"/>
      <c r="F43" s="235"/>
      <c r="G43" s="105">
        <v>4</v>
      </c>
      <c r="H43" s="140"/>
      <c r="I43" s="232"/>
      <c r="J43" s="256"/>
      <c r="K43" s="285"/>
      <c r="L43" s="268"/>
      <c r="M43" s="268"/>
      <c r="N43" s="210"/>
      <c r="O43" s="221"/>
    </row>
    <row r="44" spans="2:15" ht="16.5" x14ac:dyDescent="0.3">
      <c r="B44" s="250"/>
      <c r="C44" s="250"/>
      <c r="D44" s="316"/>
      <c r="E44" s="325"/>
      <c r="F44" s="235"/>
      <c r="G44" s="105">
        <v>5</v>
      </c>
      <c r="H44" s="140"/>
      <c r="I44" s="232"/>
      <c r="J44" s="256"/>
      <c r="K44" s="285"/>
      <c r="L44" s="268"/>
      <c r="M44" s="268"/>
      <c r="N44" s="210"/>
      <c r="O44" s="221"/>
    </row>
    <row r="45" spans="2:15" ht="16.5" x14ac:dyDescent="0.3">
      <c r="B45" s="250"/>
      <c r="C45" s="250"/>
      <c r="D45" s="316"/>
      <c r="E45" s="325"/>
      <c r="F45" s="235"/>
      <c r="G45" s="105">
        <v>6</v>
      </c>
      <c r="H45" s="140"/>
      <c r="I45" s="232"/>
      <c r="J45" s="256"/>
      <c r="K45" s="285"/>
      <c r="L45" s="268"/>
      <c r="M45" s="268"/>
      <c r="N45" s="210"/>
      <c r="O45" s="221"/>
    </row>
    <row r="46" spans="2:15" ht="16.5" x14ac:dyDescent="0.3">
      <c r="B46" s="250"/>
      <c r="C46" s="250"/>
      <c r="D46" s="316"/>
      <c r="E46" s="325"/>
      <c r="F46" s="235"/>
      <c r="G46" s="105">
        <v>7</v>
      </c>
      <c r="H46" s="140"/>
      <c r="I46" s="232"/>
      <c r="J46" s="256"/>
      <c r="K46" s="285"/>
      <c r="L46" s="268"/>
      <c r="M46" s="268"/>
      <c r="N46" s="210"/>
      <c r="O46" s="221"/>
    </row>
    <row r="47" spans="2:15" ht="17.25" thickBot="1" x14ac:dyDescent="0.35">
      <c r="B47" s="251"/>
      <c r="C47" s="251"/>
      <c r="D47" s="317"/>
      <c r="E47" s="326"/>
      <c r="F47" s="236"/>
      <c r="G47" s="109">
        <v>8</v>
      </c>
      <c r="H47" s="141"/>
      <c r="I47" s="233"/>
      <c r="J47" s="257"/>
      <c r="K47" s="286"/>
      <c r="L47" s="268"/>
      <c r="M47" s="268"/>
      <c r="N47" s="210"/>
      <c r="O47" s="221"/>
    </row>
    <row r="48" spans="2:15" ht="58.5" customHeight="1" x14ac:dyDescent="0.3">
      <c r="B48" s="249" t="str">
        <f>+LEFT(C48,3)</f>
        <v>1.3</v>
      </c>
      <c r="C48" s="249" t="s">
        <v>128</v>
      </c>
      <c r="D48" s="315" t="s">
        <v>129</v>
      </c>
      <c r="E48" s="333" t="s">
        <v>483</v>
      </c>
      <c r="F48" s="234">
        <v>3</v>
      </c>
      <c r="G48" s="110">
        <v>1</v>
      </c>
      <c r="H48" s="148" t="s">
        <v>486</v>
      </c>
      <c r="I48" s="231" t="s">
        <v>489</v>
      </c>
      <c r="J48" s="255">
        <v>2</v>
      </c>
      <c r="K48" s="284" t="str">
        <f t="shared" ref="K48" si="4">+IF(OR(ISBLANK(F48),ISBLANK(J48)),"",IF(OR(AND(F48=1,J48=1),AND(F48=1,J48=2),AND(F48=1,J48=3)),"Deficiencia de control mayor (diseño y ejecución)",IF(OR(AND(F48=2,J48=2),AND(F48=3,J48=1),AND(F48=3,J48=2),AND(F48=2,J48=1)),"Deficiencia de control (diseño o ejecución)",IF(AND(F48=2,J48=3),"Oportunidad de mejora","Mantenimiento del control"))))</f>
        <v>Deficiencia de control (diseño o ejecución)</v>
      </c>
      <c r="L48" s="268">
        <f t="shared" ref="L48" si="5">+IF(K48="",0,IF(K48="Deficiencia de control mayor (diseño y ejecución)",4,IF(K48="Deficiencia de control (diseño o ejecución)",20,IF(K48="Oportunidad de mejora",40,60))))</f>
        <v>20</v>
      </c>
      <c r="M48" s="268">
        <v>6.6895999999999997E-2</v>
      </c>
      <c r="N48" s="217">
        <f t="shared" ref="N48" si="6">+L48+M48</f>
        <v>20.066896</v>
      </c>
      <c r="O48" s="223"/>
    </row>
    <row r="49" spans="2:15" ht="16.5" x14ac:dyDescent="0.3">
      <c r="B49" s="250"/>
      <c r="C49" s="250"/>
      <c r="D49" s="316"/>
      <c r="E49" s="235"/>
      <c r="F49" s="235"/>
      <c r="G49" s="105">
        <v>2</v>
      </c>
      <c r="H49" s="149"/>
      <c r="I49" s="232"/>
      <c r="J49" s="256"/>
      <c r="K49" s="285"/>
      <c r="L49" s="268"/>
      <c r="M49" s="268"/>
      <c r="N49" s="217"/>
      <c r="O49" s="223"/>
    </row>
    <row r="50" spans="2:15" ht="16.5" x14ac:dyDescent="0.3">
      <c r="B50" s="250"/>
      <c r="C50" s="250"/>
      <c r="D50" s="316"/>
      <c r="E50" s="235"/>
      <c r="F50" s="235"/>
      <c r="G50" s="105">
        <v>3</v>
      </c>
      <c r="H50" s="140"/>
      <c r="I50" s="232"/>
      <c r="J50" s="256"/>
      <c r="K50" s="285"/>
      <c r="L50" s="268"/>
      <c r="M50" s="268"/>
      <c r="N50" s="217"/>
      <c r="O50" s="223"/>
    </row>
    <row r="51" spans="2:15" ht="16.5" x14ac:dyDescent="0.3">
      <c r="B51" s="250"/>
      <c r="C51" s="250"/>
      <c r="D51" s="316"/>
      <c r="E51" s="235"/>
      <c r="F51" s="235"/>
      <c r="G51" s="105">
        <v>4</v>
      </c>
      <c r="H51" s="140"/>
      <c r="I51" s="232"/>
      <c r="J51" s="256"/>
      <c r="K51" s="285"/>
      <c r="L51" s="268"/>
      <c r="M51" s="268"/>
      <c r="N51" s="217"/>
      <c r="O51" s="223"/>
    </row>
    <row r="52" spans="2:15" ht="16.5" x14ac:dyDescent="0.3">
      <c r="B52" s="250"/>
      <c r="C52" s="250"/>
      <c r="D52" s="316"/>
      <c r="E52" s="235"/>
      <c r="F52" s="235"/>
      <c r="G52" s="105">
        <v>5</v>
      </c>
      <c r="H52" s="140"/>
      <c r="I52" s="232"/>
      <c r="J52" s="256"/>
      <c r="K52" s="285"/>
      <c r="L52" s="268"/>
      <c r="M52" s="268"/>
      <c r="N52" s="217"/>
      <c r="O52" s="223"/>
    </row>
    <row r="53" spans="2:15" ht="16.5" x14ac:dyDescent="0.3">
      <c r="B53" s="250"/>
      <c r="C53" s="250"/>
      <c r="D53" s="316"/>
      <c r="E53" s="235"/>
      <c r="F53" s="235"/>
      <c r="G53" s="105">
        <v>6</v>
      </c>
      <c r="H53" s="140"/>
      <c r="I53" s="232"/>
      <c r="J53" s="256"/>
      <c r="K53" s="285"/>
      <c r="L53" s="268"/>
      <c r="M53" s="268"/>
      <c r="N53" s="217"/>
      <c r="O53" s="223"/>
    </row>
    <row r="54" spans="2:15" ht="16.5" x14ac:dyDescent="0.3">
      <c r="B54" s="250"/>
      <c r="C54" s="250"/>
      <c r="D54" s="316"/>
      <c r="E54" s="235"/>
      <c r="F54" s="235"/>
      <c r="G54" s="105">
        <v>7</v>
      </c>
      <c r="H54" s="140"/>
      <c r="I54" s="232"/>
      <c r="J54" s="256"/>
      <c r="K54" s="285"/>
      <c r="L54" s="268"/>
      <c r="M54" s="268"/>
      <c r="N54" s="217"/>
      <c r="O54" s="223"/>
    </row>
    <row r="55" spans="2:15" ht="17.25" thickBot="1" x14ac:dyDescent="0.35">
      <c r="B55" s="251"/>
      <c r="C55" s="251"/>
      <c r="D55" s="317"/>
      <c r="E55" s="236"/>
      <c r="F55" s="236"/>
      <c r="G55" s="109">
        <v>8</v>
      </c>
      <c r="H55" s="141"/>
      <c r="I55" s="233"/>
      <c r="J55" s="257"/>
      <c r="K55" s="286"/>
      <c r="L55" s="268"/>
      <c r="M55" s="268"/>
      <c r="N55" s="217"/>
      <c r="O55" s="223"/>
    </row>
    <row r="56" spans="2:15" ht="32.25" customHeight="1" x14ac:dyDescent="0.3">
      <c r="B56" s="249" t="str">
        <f>+LEFT(C56,3)</f>
        <v>1.4</v>
      </c>
      <c r="C56" s="225" t="s">
        <v>130</v>
      </c>
      <c r="D56" s="228" t="s">
        <v>131</v>
      </c>
      <c r="E56" s="231" t="s">
        <v>491</v>
      </c>
      <c r="F56" s="234">
        <v>3</v>
      </c>
      <c r="G56" s="110">
        <v>1</v>
      </c>
      <c r="H56" s="148" t="s">
        <v>490</v>
      </c>
      <c r="I56" s="138" t="s">
        <v>442</v>
      </c>
      <c r="J56" s="237">
        <v>3</v>
      </c>
      <c r="K56" s="240" t="str">
        <f t="shared" ref="K56" si="7">+IF(OR(ISBLANK(F56),ISBLANK(J56)),"",IF(OR(AND(F56=1,J56=1),AND(F56=1,J56=2),AND(F56=1,J56=3)),"Deficiencia de control mayor (diseño y ejecución)",IF(OR(AND(F56=2,J56=2),AND(F56=3,J56=1),AND(F56=3,J56=2),AND(F56=2,J56=1)),"Deficiencia de control (diseño o ejecución)",IF(AND(F56=2,J56=3),"Oportunidad de mejora","Mantenimiento del control"))))</f>
        <v>Mantenimiento del control</v>
      </c>
      <c r="L56" s="268">
        <f t="shared" ref="L56" si="8">+IF(K56="",0,IF(K56="Deficiencia de control mayor (diseño y ejecución)",4,IF(K56="Deficiencia de control (diseño o ejecución)",20,IF(K56="Oportunidad de mejora",40,60))))</f>
        <v>60</v>
      </c>
      <c r="M56" s="268">
        <v>6.6909999999999997E-2</v>
      </c>
      <c r="N56" s="218">
        <f>+L56+M56</f>
        <v>60.06691</v>
      </c>
      <c r="O56" s="224"/>
    </row>
    <row r="57" spans="2:15" ht="16.5" x14ac:dyDescent="0.3">
      <c r="B57" s="250"/>
      <c r="C57" s="226"/>
      <c r="D57" s="229"/>
      <c r="E57" s="232"/>
      <c r="F57" s="235"/>
      <c r="G57" s="105">
        <v>2</v>
      </c>
      <c r="H57" s="140"/>
      <c r="I57" s="138"/>
      <c r="J57" s="238"/>
      <c r="K57" s="241"/>
      <c r="L57" s="268"/>
      <c r="M57" s="268"/>
      <c r="N57" s="218"/>
      <c r="O57" s="224"/>
    </row>
    <row r="58" spans="2:15" ht="16.5" x14ac:dyDescent="0.3">
      <c r="B58" s="250"/>
      <c r="C58" s="226"/>
      <c r="D58" s="229"/>
      <c r="E58" s="232"/>
      <c r="F58" s="235"/>
      <c r="G58" s="105">
        <v>3</v>
      </c>
      <c r="H58" s="140"/>
      <c r="I58" s="138"/>
      <c r="J58" s="238"/>
      <c r="K58" s="241"/>
      <c r="L58" s="268"/>
      <c r="M58" s="268"/>
      <c r="N58" s="218"/>
      <c r="O58" s="224"/>
    </row>
    <row r="59" spans="2:15" ht="16.5" x14ac:dyDescent="0.3">
      <c r="B59" s="250"/>
      <c r="C59" s="226"/>
      <c r="D59" s="229"/>
      <c r="E59" s="232"/>
      <c r="F59" s="235"/>
      <c r="G59" s="105">
        <v>4</v>
      </c>
      <c r="H59" s="140"/>
      <c r="I59" s="138"/>
      <c r="J59" s="238"/>
      <c r="K59" s="241"/>
      <c r="L59" s="268"/>
      <c r="M59" s="268"/>
      <c r="N59" s="218"/>
      <c r="O59" s="224"/>
    </row>
    <row r="60" spans="2:15" ht="16.5" x14ac:dyDescent="0.3">
      <c r="B60" s="250"/>
      <c r="C60" s="226"/>
      <c r="D60" s="229"/>
      <c r="E60" s="232"/>
      <c r="F60" s="235"/>
      <c r="G60" s="105">
        <v>5</v>
      </c>
      <c r="H60" s="140"/>
      <c r="I60" s="138"/>
      <c r="J60" s="238"/>
      <c r="K60" s="241"/>
      <c r="L60" s="268"/>
      <c r="M60" s="268"/>
      <c r="N60" s="218"/>
      <c r="O60" s="224"/>
    </row>
    <row r="61" spans="2:15" ht="16.5" x14ac:dyDescent="0.3">
      <c r="B61" s="250"/>
      <c r="C61" s="226"/>
      <c r="D61" s="229"/>
      <c r="E61" s="232"/>
      <c r="F61" s="235"/>
      <c r="G61" s="105">
        <v>6</v>
      </c>
      <c r="H61" s="140"/>
      <c r="I61" s="138"/>
      <c r="J61" s="238"/>
      <c r="K61" s="241"/>
      <c r="L61" s="268"/>
      <c r="M61" s="268"/>
      <c r="N61" s="218"/>
      <c r="O61" s="224"/>
    </row>
    <row r="62" spans="2:15" ht="16.5" x14ac:dyDescent="0.3">
      <c r="B62" s="250"/>
      <c r="C62" s="226"/>
      <c r="D62" s="229"/>
      <c r="E62" s="232"/>
      <c r="F62" s="235"/>
      <c r="G62" s="105">
        <v>7</v>
      </c>
      <c r="H62" s="140"/>
      <c r="I62" s="138"/>
      <c r="J62" s="238"/>
      <c r="K62" s="241"/>
      <c r="L62" s="268"/>
      <c r="M62" s="268"/>
      <c r="N62" s="218"/>
      <c r="O62" s="224"/>
    </row>
    <row r="63" spans="2:15" ht="17.25" thickBot="1" x14ac:dyDescent="0.35">
      <c r="B63" s="251"/>
      <c r="C63" s="227"/>
      <c r="D63" s="230"/>
      <c r="E63" s="233"/>
      <c r="F63" s="236"/>
      <c r="G63" s="109">
        <v>8</v>
      </c>
      <c r="H63" s="141"/>
      <c r="I63" s="138"/>
      <c r="J63" s="239"/>
      <c r="K63" s="242"/>
      <c r="L63" s="268"/>
      <c r="M63" s="268"/>
      <c r="N63" s="218"/>
      <c r="O63" s="224"/>
    </row>
    <row r="64" spans="2:15" ht="72.75" customHeight="1" x14ac:dyDescent="0.3">
      <c r="B64" s="249" t="str">
        <f>+LEFT(C64,3)</f>
        <v>1.5</v>
      </c>
      <c r="C64" s="249" t="s">
        <v>132</v>
      </c>
      <c r="D64" s="315" t="s">
        <v>133</v>
      </c>
      <c r="E64" s="214" t="s">
        <v>492</v>
      </c>
      <c r="F64" s="234">
        <v>3</v>
      </c>
      <c r="G64" s="110">
        <v>1</v>
      </c>
      <c r="H64" s="106" t="s">
        <v>493</v>
      </c>
      <c r="I64" s="231" t="s">
        <v>495</v>
      </c>
      <c r="J64" s="255">
        <v>3</v>
      </c>
      <c r="K64" s="284" t="str">
        <f t="shared" ref="K64" si="9">+IF(OR(ISBLANK(F64),ISBLANK(J64)),"",IF(OR(AND(F64=1,J64=1),AND(F64=1,J64=2),AND(F64=1,J64=3)),"Deficiencia de control mayor (diseño y ejecución)",IF(OR(AND(F64=2,J64=2),AND(F64=3,J64=1),AND(F64=3,J64=2),AND(F64=2,J64=1)),"Deficiencia de control (diseño o ejecución)",IF(AND(F64=2,J64=3),"Oportunidad de mejora","Mantenimiento del control"))))</f>
        <v>Mantenimiento del control</v>
      </c>
      <c r="L64" s="268">
        <f t="shared" ref="L64" si="10">+IF(K64="",0,IF(K64="Deficiencia de control mayor (diseño y ejecución)",4,IF(K64="Deficiencia de control (diseño o ejecución)",20,IF(K64="Oportunidad de mejora",40,60))))</f>
        <v>60</v>
      </c>
      <c r="M64" s="268">
        <v>7.3568999999999996E-2</v>
      </c>
      <c r="N64" s="210">
        <f t="shared" ref="N64" si="11">+L64+M64</f>
        <v>60.073568999999999</v>
      </c>
      <c r="O64" s="221"/>
    </row>
    <row r="65" spans="2:15" ht="16.5" x14ac:dyDescent="0.3">
      <c r="B65" s="250"/>
      <c r="C65" s="250"/>
      <c r="D65" s="316"/>
      <c r="E65" s="215"/>
      <c r="F65" s="235"/>
      <c r="G65" s="105">
        <v>2</v>
      </c>
      <c r="H65" s="140" t="s">
        <v>494</v>
      </c>
      <c r="I65" s="232"/>
      <c r="J65" s="256"/>
      <c r="K65" s="285"/>
      <c r="L65" s="268"/>
      <c r="M65" s="268"/>
      <c r="N65" s="210"/>
      <c r="O65" s="221"/>
    </row>
    <row r="66" spans="2:15" ht="16.5" x14ac:dyDescent="0.3">
      <c r="B66" s="250"/>
      <c r="C66" s="250"/>
      <c r="D66" s="316"/>
      <c r="E66" s="215"/>
      <c r="F66" s="235"/>
      <c r="G66" s="105">
        <v>3</v>
      </c>
      <c r="H66" s="140"/>
      <c r="I66" s="232"/>
      <c r="J66" s="256"/>
      <c r="K66" s="285"/>
      <c r="L66" s="268"/>
      <c r="M66" s="268"/>
      <c r="N66" s="210"/>
      <c r="O66" s="221"/>
    </row>
    <row r="67" spans="2:15" ht="16.5" x14ac:dyDescent="0.3">
      <c r="B67" s="250"/>
      <c r="C67" s="250"/>
      <c r="D67" s="316"/>
      <c r="E67" s="215"/>
      <c r="F67" s="235"/>
      <c r="G67" s="105">
        <v>4</v>
      </c>
      <c r="H67" s="140"/>
      <c r="I67" s="232"/>
      <c r="J67" s="256"/>
      <c r="K67" s="285"/>
      <c r="L67" s="268"/>
      <c r="M67" s="268"/>
      <c r="N67" s="210"/>
      <c r="O67" s="221"/>
    </row>
    <row r="68" spans="2:15" ht="16.5" x14ac:dyDescent="0.3">
      <c r="B68" s="250"/>
      <c r="C68" s="250"/>
      <c r="D68" s="316"/>
      <c r="E68" s="215"/>
      <c r="F68" s="235"/>
      <c r="G68" s="105">
        <v>5</v>
      </c>
      <c r="H68" s="140"/>
      <c r="I68" s="232"/>
      <c r="J68" s="256"/>
      <c r="K68" s="285"/>
      <c r="L68" s="268"/>
      <c r="M68" s="268"/>
      <c r="N68" s="210"/>
      <c r="O68" s="221"/>
    </row>
    <row r="69" spans="2:15" ht="16.5" x14ac:dyDescent="0.3">
      <c r="B69" s="250"/>
      <c r="C69" s="250"/>
      <c r="D69" s="316"/>
      <c r="E69" s="215"/>
      <c r="F69" s="235"/>
      <c r="G69" s="105">
        <v>6</v>
      </c>
      <c r="H69" s="140"/>
      <c r="I69" s="232"/>
      <c r="J69" s="256"/>
      <c r="K69" s="285"/>
      <c r="L69" s="268"/>
      <c r="M69" s="268"/>
      <c r="N69" s="210"/>
      <c r="O69" s="221"/>
    </row>
    <row r="70" spans="2:15" ht="16.5" x14ac:dyDescent="0.3">
      <c r="B70" s="250"/>
      <c r="C70" s="250"/>
      <c r="D70" s="316"/>
      <c r="E70" s="215"/>
      <c r="F70" s="235"/>
      <c r="G70" s="105">
        <v>7</v>
      </c>
      <c r="H70" s="140"/>
      <c r="I70" s="232"/>
      <c r="J70" s="256"/>
      <c r="K70" s="285"/>
      <c r="L70" s="268"/>
      <c r="M70" s="268"/>
      <c r="N70" s="210"/>
      <c r="O70" s="221"/>
    </row>
    <row r="71" spans="2:15" ht="17.25" thickBot="1" x14ac:dyDescent="0.35">
      <c r="B71" s="251"/>
      <c r="C71" s="251"/>
      <c r="D71" s="317"/>
      <c r="E71" s="216"/>
      <c r="F71" s="236"/>
      <c r="G71" s="109">
        <v>8</v>
      </c>
      <c r="H71" s="141"/>
      <c r="I71" s="233"/>
      <c r="J71" s="257"/>
      <c r="K71" s="286"/>
      <c r="L71" s="268"/>
      <c r="M71" s="268"/>
      <c r="N71" s="210"/>
      <c r="O71" s="221"/>
    </row>
    <row r="72" spans="2:15" ht="36.75" customHeight="1" x14ac:dyDescent="0.3">
      <c r="B72" s="278"/>
      <c r="C72" s="278" t="s">
        <v>134</v>
      </c>
      <c r="D72" s="260" t="s">
        <v>8</v>
      </c>
      <c r="E72" s="309" t="s">
        <v>113</v>
      </c>
      <c r="F72" s="263" t="s">
        <v>114</v>
      </c>
      <c r="G72" s="301" t="s">
        <v>115</v>
      </c>
      <c r="H72" s="302"/>
      <c r="I72" s="303"/>
      <c r="J72" s="263" t="s">
        <v>116</v>
      </c>
      <c r="K72" s="287" t="s">
        <v>135</v>
      </c>
      <c r="L72" s="269"/>
      <c r="M72" s="269"/>
      <c r="N72" s="219"/>
      <c r="O72" s="222"/>
    </row>
    <row r="73" spans="2:15" ht="29.25" customHeight="1" x14ac:dyDescent="0.3">
      <c r="B73" s="278"/>
      <c r="C73" s="278"/>
      <c r="D73" s="261"/>
      <c r="E73" s="310"/>
      <c r="F73" s="263"/>
      <c r="G73" s="265" t="s">
        <v>13</v>
      </c>
      <c r="H73" s="311" t="s">
        <v>15</v>
      </c>
      <c r="I73" s="304" t="s">
        <v>136</v>
      </c>
      <c r="J73" s="263"/>
      <c r="K73" s="287"/>
      <c r="L73" s="269"/>
      <c r="M73" s="269"/>
      <c r="N73" s="219"/>
      <c r="O73" s="222"/>
    </row>
    <row r="74" spans="2:15" ht="45.75" customHeight="1" thickBot="1" x14ac:dyDescent="0.35">
      <c r="B74" s="279"/>
      <c r="C74" s="279"/>
      <c r="D74" s="262"/>
      <c r="E74" s="305"/>
      <c r="F74" s="264"/>
      <c r="G74" s="266"/>
      <c r="H74" s="304"/>
      <c r="I74" s="305"/>
      <c r="J74" s="264"/>
      <c r="K74" s="288"/>
      <c r="L74" s="269"/>
      <c r="M74" s="269"/>
      <c r="N74" s="219"/>
      <c r="O74" s="222"/>
    </row>
    <row r="75" spans="2:15" ht="138" customHeight="1" x14ac:dyDescent="0.3">
      <c r="B75" s="249" t="str">
        <f>+LEFT(C75,3)</f>
        <v>2.1</v>
      </c>
      <c r="C75" s="249" t="s">
        <v>137</v>
      </c>
      <c r="D75" s="228" t="s">
        <v>138</v>
      </c>
      <c r="E75" s="312" t="s">
        <v>496</v>
      </c>
      <c r="F75" s="234">
        <v>3</v>
      </c>
      <c r="G75" s="110">
        <v>1</v>
      </c>
      <c r="H75" s="171" t="s">
        <v>497</v>
      </c>
      <c r="I75" s="243" t="s">
        <v>498</v>
      </c>
      <c r="J75" s="255">
        <v>3</v>
      </c>
      <c r="K75" s="284" t="str">
        <f t="shared" ref="K75" si="12">+IF(OR(ISBLANK(F75),ISBLANK(J75)),"",IF(OR(AND(F75=1,J75=1),AND(F75=1,J75=2),AND(F75=1,J75=3)),"Deficiencia de control mayor (diseño y ejecución)",IF(OR(AND(F75=2,J75=2),AND(F75=3,J75=1),AND(F75=3,J75=2),AND(F75=2,J75=1)),"Deficiencia de control (diseño o ejecución)",IF(AND(F75=2,J75=3),"Oportunidad de mejora","Mantenimiento del control"))))</f>
        <v>Mantenimiento del control</v>
      </c>
      <c r="L75" s="268">
        <f t="shared" ref="L75:L91" si="13">+IF(K75="",0,IF(K75="Deficiencia de control mayor (diseño y ejecución)",4,IF(K75="Deficiencia de control (diseño o ejecución)",20,IF(K75="Oportunidad de mejora",40,60))))</f>
        <v>60</v>
      </c>
      <c r="M75" s="268">
        <v>8.8965299999999997E-2</v>
      </c>
      <c r="N75" s="210">
        <f>+L75+M75</f>
        <v>60.088965299999998</v>
      </c>
      <c r="O75" s="221"/>
    </row>
    <row r="76" spans="2:15" ht="51" customHeight="1" x14ac:dyDescent="0.3">
      <c r="B76" s="250"/>
      <c r="C76" s="250"/>
      <c r="D76" s="229"/>
      <c r="E76" s="321"/>
      <c r="F76" s="235"/>
      <c r="G76" s="105">
        <v>2</v>
      </c>
      <c r="H76" s="172"/>
      <c r="I76" s="244"/>
      <c r="J76" s="256"/>
      <c r="K76" s="285"/>
      <c r="L76" s="268"/>
      <c r="M76" s="268"/>
      <c r="N76" s="210"/>
      <c r="O76" s="221"/>
    </row>
    <row r="77" spans="2:15" ht="21" customHeight="1" x14ac:dyDescent="0.3">
      <c r="B77" s="250"/>
      <c r="C77" s="250"/>
      <c r="D77" s="229"/>
      <c r="E77" s="321"/>
      <c r="F77" s="235"/>
      <c r="G77" s="105">
        <v>3</v>
      </c>
      <c r="H77" s="172"/>
      <c r="I77" s="244"/>
      <c r="J77" s="256"/>
      <c r="K77" s="285"/>
      <c r="L77" s="268"/>
      <c r="M77" s="268"/>
      <c r="N77" s="210"/>
      <c r="O77" s="221"/>
    </row>
    <row r="78" spans="2:15" ht="21" customHeight="1" x14ac:dyDescent="0.3">
      <c r="B78" s="250"/>
      <c r="C78" s="250"/>
      <c r="D78" s="229"/>
      <c r="E78" s="321"/>
      <c r="F78" s="235"/>
      <c r="G78" s="105">
        <v>4</v>
      </c>
      <c r="H78" s="172"/>
      <c r="I78" s="244"/>
      <c r="J78" s="256"/>
      <c r="K78" s="285"/>
      <c r="L78" s="268"/>
      <c r="M78" s="268"/>
      <c r="N78" s="210"/>
      <c r="O78" s="221"/>
    </row>
    <row r="79" spans="2:15" ht="21" customHeight="1" x14ac:dyDescent="0.3">
      <c r="B79" s="250"/>
      <c r="C79" s="250"/>
      <c r="D79" s="229"/>
      <c r="E79" s="321"/>
      <c r="F79" s="235"/>
      <c r="G79" s="105">
        <v>5</v>
      </c>
      <c r="H79" s="172"/>
      <c r="I79" s="244"/>
      <c r="J79" s="256"/>
      <c r="K79" s="285"/>
      <c r="L79" s="268"/>
      <c r="M79" s="268"/>
      <c r="N79" s="210"/>
      <c r="O79" s="221"/>
    </row>
    <row r="80" spans="2:15" ht="21" customHeight="1" x14ac:dyDescent="0.3">
      <c r="B80" s="250"/>
      <c r="C80" s="250"/>
      <c r="D80" s="229"/>
      <c r="E80" s="321"/>
      <c r="F80" s="235"/>
      <c r="G80" s="105">
        <v>6</v>
      </c>
      <c r="H80" s="172"/>
      <c r="I80" s="244"/>
      <c r="J80" s="256"/>
      <c r="K80" s="285"/>
      <c r="L80" s="268"/>
      <c r="M80" s="268"/>
      <c r="N80" s="210"/>
      <c r="O80" s="221"/>
    </row>
    <row r="81" spans="2:15" ht="21" customHeight="1" x14ac:dyDescent="0.3">
      <c r="B81" s="250"/>
      <c r="C81" s="250"/>
      <c r="D81" s="229"/>
      <c r="E81" s="321"/>
      <c r="F81" s="235"/>
      <c r="G81" s="105">
        <v>7</v>
      </c>
      <c r="H81" s="172"/>
      <c r="I81" s="244"/>
      <c r="J81" s="256"/>
      <c r="K81" s="285"/>
      <c r="L81" s="268"/>
      <c r="M81" s="268"/>
      <c r="N81" s="210"/>
      <c r="O81" s="221"/>
    </row>
    <row r="82" spans="2:15" ht="21" customHeight="1" thickBot="1" x14ac:dyDescent="0.35">
      <c r="B82" s="251"/>
      <c r="C82" s="251"/>
      <c r="D82" s="230"/>
      <c r="E82" s="322"/>
      <c r="F82" s="236"/>
      <c r="G82" s="109">
        <v>8</v>
      </c>
      <c r="H82" s="173"/>
      <c r="I82" s="245"/>
      <c r="J82" s="257"/>
      <c r="K82" s="286"/>
      <c r="L82" s="268"/>
      <c r="M82" s="268"/>
      <c r="N82" s="210"/>
      <c r="O82" s="221"/>
    </row>
    <row r="83" spans="2:15" ht="66" x14ac:dyDescent="0.3">
      <c r="B83" s="249" t="str">
        <f>+LEFT(C83,3)</f>
        <v>2.2</v>
      </c>
      <c r="C83" s="318" t="s">
        <v>139</v>
      </c>
      <c r="D83" s="228" t="s">
        <v>140</v>
      </c>
      <c r="E83" s="312" t="s">
        <v>499</v>
      </c>
      <c r="F83" s="234">
        <v>3</v>
      </c>
      <c r="G83" s="110">
        <v>1</v>
      </c>
      <c r="H83" s="148" t="s">
        <v>500</v>
      </c>
      <c r="I83" s="231" t="s">
        <v>501</v>
      </c>
      <c r="J83" s="255">
        <v>3</v>
      </c>
      <c r="K83" s="284" t="str">
        <f t="shared" ref="K83" si="14">+IF(OR(ISBLANK(F83),ISBLANK(J83)),"",IF(OR(AND(F83=1,J83=1),AND(F83=1,J83=2),AND(F83=1,J83=3)),"Deficiencia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268">
        <f t="shared" si="13"/>
        <v>60</v>
      </c>
      <c r="M83" s="268">
        <v>9.8965300000000006E-2</v>
      </c>
      <c r="N83" s="210">
        <f t="shared" ref="N83:N91" si="15">+L83+M83</f>
        <v>60.098965300000003</v>
      </c>
      <c r="O83" s="221"/>
    </row>
    <row r="84" spans="2:15" ht="16.5" x14ac:dyDescent="0.3">
      <c r="B84" s="250"/>
      <c r="C84" s="319"/>
      <c r="D84" s="229"/>
      <c r="E84" s="313"/>
      <c r="F84" s="235"/>
      <c r="G84" s="105">
        <v>2</v>
      </c>
      <c r="H84" s="140"/>
      <c r="I84" s="232"/>
      <c r="J84" s="256"/>
      <c r="K84" s="285"/>
      <c r="L84" s="268"/>
      <c r="M84" s="268"/>
      <c r="N84" s="210"/>
      <c r="O84" s="221"/>
    </row>
    <row r="85" spans="2:15" ht="16.5" x14ac:dyDescent="0.3">
      <c r="B85" s="250"/>
      <c r="C85" s="319"/>
      <c r="D85" s="229"/>
      <c r="E85" s="313"/>
      <c r="F85" s="235"/>
      <c r="G85" s="105">
        <v>3</v>
      </c>
      <c r="H85" s="140"/>
      <c r="I85" s="232"/>
      <c r="J85" s="256"/>
      <c r="K85" s="285"/>
      <c r="L85" s="268"/>
      <c r="M85" s="268"/>
      <c r="N85" s="210"/>
      <c r="O85" s="221"/>
    </row>
    <row r="86" spans="2:15" ht="16.5" x14ac:dyDescent="0.3">
      <c r="B86" s="250"/>
      <c r="C86" s="319"/>
      <c r="D86" s="229"/>
      <c r="E86" s="313"/>
      <c r="F86" s="235"/>
      <c r="G86" s="105">
        <v>4</v>
      </c>
      <c r="H86" s="140"/>
      <c r="I86" s="232"/>
      <c r="J86" s="256"/>
      <c r="K86" s="285"/>
      <c r="L86" s="268"/>
      <c r="M86" s="268"/>
      <c r="N86" s="210"/>
      <c r="O86" s="221"/>
    </row>
    <row r="87" spans="2:15" ht="16.5" x14ac:dyDescent="0.3">
      <c r="B87" s="250"/>
      <c r="C87" s="319"/>
      <c r="D87" s="229"/>
      <c r="E87" s="313"/>
      <c r="F87" s="235"/>
      <c r="G87" s="105">
        <v>5</v>
      </c>
      <c r="H87" s="140"/>
      <c r="I87" s="232"/>
      <c r="J87" s="256"/>
      <c r="K87" s="285"/>
      <c r="L87" s="268"/>
      <c r="M87" s="268"/>
      <c r="N87" s="210"/>
      <c r="O87" s="221"/>
    </row>
    <row r="88" spans="2:15" ht="16.5" x14ac:dyDescent="0.3">
      <c r="B88" s="250"/>
      <c r="C88" s="319"/>
      <c r="D88" s="229"/>
      <c r="E88" s="313"/>
      <c r="F88" s="235"/>
      <c r="G88" s="105">
        <v>6</v>
      </c>
      <c r="H88" s="140"/>
      <c r="I88" s="232"/>
      <c r="J88" s="256"/>
      <c r="K88" s="285"/>
      <c r="L88" s="268"/>
      <c r="M88" s="268"/>
      <c r="N88" s="210"/>
      <c r="O88" s="221"/>
    </row>
    <row r="89" spans="2:15" ht="16.5" x14ac:dyDescent="0.3">
      <c r="B89" s="250"/>
      <c r="C89" s="319"/>
      <c r="D89" s="229"/>
      <c r="E89" s="313"/>
      <c r="F89" s="235"/>
      <c r="G89" s="105">
        <v>7</v>
      </c>
      <c r="H89" s="140"/>
      <c r="I89" s="232"/>
      <c r="J89" s="256"/>
      <c r="K89" s="285"/>
      <c r="L89" s="268"/>
      <c r="M89" s="268"/>
      <c r="N89" s="210"/>
      <c r="O89" s="221"/>
    </row>
    <row r="90" spans="2:15" ht="17.25" thickBot="1" x14ac:dyDescent="0.35">
      <c r="B90" s="251"/>
      <c r="C90" s="320"/>
      <c r="D90" s="230"/>
      <c r="E90" s="314"/>
      <c r="F90" s="236"/>
      <c r="G90" s="109">
        <v>8</v>
      </c>
      <c r="H90" s="141"/>
      <c r="I90" s="233"/>
      <c r="J90" s="257"/>
      <c r="K90" s="286"/>
      <c r="L90" s="268"/>
      <c r="M90" s="268"/>
      <c r="N90" s="210"/>
      <c r="O90" s="221"/>
    </row>
    <row r="91" spans="2:15" ht="116.1" customHeight="1" x14ac:dyDescent="0.3">
      <c r="B91" s="249" t="str">
        <f>+LEFT(C91,3)</f>
        <v>2.3</v>
      </c>
      <c r="C91" s="249" t="s">
        <v>141</v>
      </c>
      <c r="D91" s="228" t="s">
        <v>142</v>
      </c>
      <c r="E91" s="312" t="s">
        <v>502</v>
      </c>
      <c r="F91" s="234">
        <v>3</v>
      </c>
      <c r="G91" s="110">
        <v>1</v>
      </c>
      <c r="H91" s="148" t="s">
        <v>503</v>
      </c>
      <c r="I91" s="231" t="s">
        <v>458</v>
      </c>
      <c r="J91" s="255">
        <v>3</v>
      </c>
      <c r="K91" s="284" t="str">
        <f t="shared" ref="K91" si="16">+IF(OR(ISBLANK(F91),ISBLANK(J91)),"",IF(OR(AND(F91=1,J91=1),AND(F91=1,J91=2),AND(F91=1,J91=3)),"Deficiencia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268">
        <f t="shared" si="13"/>
        <v>60</v>
      </c>
      <c r="M91" s="268">
        <v>0.15698000000000001</v>
      </c>
      <c r="N91" s="210">
        <f t="shared" si="15"/>
        <v>60.156979999999997</v>
      </c>
      <c r="O91" s="221"/>
    </row>
    <row r="92" spans="2:15" ht="21" customHeight="1" x14ac:dyDescent="0.3">
      <c r="B92" s="250"/>
      <c r="C92" s="250"/>
      <c r="D92" s="229"/>
      <c r="E92" s="313"/>
      <c r="F92" s="235"/>
      <c r="G92" s="105">
        <v>2</v>
      </c>
      <c r="H92" s="140"/>
      <c r="I92" s="232"/>
      <c r="J92" s="256"/>
      <c r="K92" s="285"/>
      <c r="L92" s="268"/>
      <c r="M92" s="268"/>
      <c r="N92" s="210"/>
      <c r="O92" s="221"/>
    </row>
    <row r="93" spans="2:15" ht="21" customHeight="1" x14ac:dyDescent="0.3">
      <c r="B93" s="250"/>
      <c r="C93" s="250"/>
      <c r="D93" s="229"/>
      <c r="E93" s="313"/>
      <c r="F93" s="235"/>
      <c r="G93" s="105">
        <v>3</v>
      </c>
      <c r="H93" s="140"/>
      <c r="I93" s="232"/>
      <c r="J93" s="256"/>
      <c r="K93" s="285"/>
      <c r="L93" s="268"/>
      <c r="M93" s="268"/>
      <c r="N93" s="210"/>
      <c r="O93" s="221"/>
    </row>
    <row r="94" spans="2:15" ht="21" customHeight="1" x14ac:dyDescent="0.3">
      <c r="B94" s="250"/>
      <c r="C94" s="250"/>
      <c r="D94" s="229"/>
      <c r="E94" s="313"/>
      <c r="F94" s="235"/>
      <c r="G94" s="105">
        <v>4</v>
      </c>
      <c r="H94" s="140"/>
      <c r="I94" s="232"/>
      <c r="J94" s="256"/>
      <c r="K94" s="285"/>
      <c r="L94" s="268"/>
      <c r="M94" s="268"/>
      <c r="N94" s="210"/>
      <c r="O94" s="221"/>
    </row>
    <row r="95" spans="2:15" ht="21" customHeight="1" x14ac:dyDescent="0.3">
      <c r="B95" s="250"/>
      <c r="C95" s="250"/>
      <c r="D95" s="229"/>
      <c r="E95" s="313"/>
      <c r="F95" s="235"/>
      <c r="G95" s="105">
        <v>5</v>
      </c>
      <c r="H95" s="140"/>
      <c r="I95" s="232"/>
      <c r="J95" s="256"/>
      <c r="K95" s="285"/>
      <c r="L95" s="268"/>
      <c r="M95" s="268"/>
      <c r="N95" s="210"/>
      <c r="O95" s="221"/>
    </row>
    <row r="96" spans="2:15" ht="21" customHeight="1" x14ac:dyDescent="0.3">
      <c r="B96" s="250"/>
      <c r="C96" s="250"/>
      <c r="D96" s="229"/>
      <c r="E96" s="313"/>
      <c r="F96" s="235"/>
      <c r="G96" s="105">
        <v>6</v>
      </c>
      <c r="H96" s="140"/>
      <c r="I96" s="232"/>
      <c r="J96" s="256"/>
      <c r="K96" s="285"/>
      <c r="L96" s="268"/>
      <c r="M96" s="268"/>
      <c r="N96" s="210"/>
      <c r="O96" s="221"/>
    </row>
    <row r="97" spans="2:15" ht="21" customHeight="1" x14ac:dyDescent="0.3">
      <c r="B97" s="250"/>
      <c r="C97" s="250"/>
      <c r="D97" s="229"/>
      <c r="E97" s="313"/>
      <c r="F97" s="235"/>
      <c r="G97" s="105">
        <v>7</v>
      </c>
      <c r="H97" s="140"/>
      <c r="I97" s="232"/>
      <c r="J97" s="256"/>
      <c r="K97" s="285"/>
      <c r="L97" s="268"/>
      <c r="M97" s="268"/>
      <c r="N97" s="210"/>
      <c r="O97" s="221"/>
    </row>
    <row r="98" spans="2:15" ht="21" customHeight="1" thickBot="1" x14ac:dyDescent="0.35">
      <c r="B98" s="251"/>
      <c r="C98" s="251"/>
      <c r="D98" s="230"/>
      <c r="E98" s="314"/>
      <c r="F98" s="236"/>
      <c r="G98" s="109">
        <v>8</v>
      </c>
      <c r="H98" s="141"/>
      <c r="I98" s="233"/>
      <c r="J98" s="257"/>
      <c r="K98" s="286"/>
      <c r="L98" s="268"/>
      <c r="M98" s="268"/>
      <c r="N98" s="210"/>
      <c r="O98" s="221"/>
    </row>
    <row r="99" spans="2:15" ht="23.25" customHeight="1" x14ac:dyDescent="0.3">
      <c r="B99" s="273"/>
      <c r="C99" s="278" t="s">
        <v>143</v>
      </c>
      <c r="D99" s="260" t="s">
        <v>8</v>
      </c>
      <c r="E99" s="309" t="s">
        <v>113</v>
      </c>
      <c r="F99" s="263" t="s">
        <v>114</v>
      </c>
      <c r="G99" s="301" t="s">
        <v>115</v>
      </c>
      <c r="H99" s="302"/>
      <c r="I99" s="303"/>
      <c r="J99" s="263" t="s">
        <v>116</v>
      </c>
      <c r="K99" s="287" t="s">
        <v>135</v>
      </c>
      <c r="L99" s="269"/>
      <c r="M99" s="269"/>
      <c r="N99" s="219"/>
      <c r="O99" s="222"/>
    </row>
    <row r="100" spans="2:15" ht="42" customHeight="1" x14ac:dyDescent="0.3">
      <c r="B100" s="273"/>
      <c r="C100" s="278"/>
      <c r="D100" s="261"/>
      <c r="E100" s="310"/>
      <c r="F100" s="263"/>
      <c r="G100" s="265" t="s">
        <v>13</v>
      </c>
      <c r="H100" s="311" t="s">
        <v>15</v>
      </c>
      <c r="I100" s="304" t="s">
        <v>136</v>
      </c>
      <c r="J100" s="263"/>
      <c r="K100" s="287"/>
      <c r="L100" s="269"/>
      <c r="M100" s="269"/>
      <c r="N100" s="219"/>
      <c r="O100" s="222"/>
    </row>
    <row r="101" spans="2:15" ht="87.75" customHeight="1" thickBot="1" x14ac:dyDescent="0.35">
      <c r="B101" s="274"/>
      <c r="C101" s="279"/>
      <c r="D101" s="262"/>
      <c r="E101" s="305"/>
      <c r="F101" s="264"/>
      <c r="G101" s="266"/>
      <c r="H101" s="304"/>
      <c r="I101" s="305"/>
      <c r="J101" s="264"/>
      <c r="K101" s="288"/>
      <c r="L101" s="269"/>
      <c r="M101" s="269"/>
      <c r="N101" s="219"/>
      <c r="O101" s="222"/>
    </row>
    <row r="102" spans="2:15" ht="33" customHeight="1" x14ac:dyDescent="0.3">
      <c r="B102" s="249" t="str">
        <f>+LEFT(C102,3)</f>
        <v>3.1</v>
      </c>
      <c r="C102" s="249" t="s">
        <v>144</v>
      </c>
      <c r="D102" s="228" t="s">
        <v>145</v>
      </c>
      <c r="E102" s="252" t="s">
        <v>504</v>
      </c>
      <c r="F102" s="234">
        <v>3</v>
      </c>
      <c r="G102" s="110">
        <v>1</v>
      </c>
      <c r="H102" s="148" t="s">
        <v>505</v>
      </c>
      <c r="I102" s="231" t="s">
        <v>478</v>
      </c>
      <c r="J102" s="255">
        <v>3</v>
      </c>
      <c r="K102" s="284" t="str">
        <f t="shared" ref="K102:K118" si="17">+IF(OR(ISBLANK(F102),ISBLANK(J102)),"",IF(OR(AND(F102=1,J102=1),AND(F102=1,J102=2),AND(F102=1,J102=3)),"Deficiencia de control mayor (diseño y ejecución)",IF(OR(AND(F102=2,J102=2),AND(F102=3,J102=1),AND(F102=3,J102=2),AND(F102=2,J102=1)),"Deficiencia de control (diseño o ejecución)",IF(AND(F102=2,J102=3),"Oportunidad de mejora","Mantenimiento del control"))))</f>
        <v>Mantenimiento del control</v>
      </c>
      <c r="L102" s="268">
        <f t="shared" ref="L102:L118" si="18">+IF(K102="",0,IF(K102="Deficiencia de control mayor (diseño y ejecución)",4,IF(K102="Deficiencia de control (diseño o ejecución)",20,IF(K102="Oportunidad de mejora",40,60))))</f>
        <v>60</v>
      </c>
      <c r="M102" s="268">
        <v>0.28965000000000002</v>
      </c>
      <c r="N102" s="210">
        <f t="shared" ref="N102:N118" si="19">+L102+M102</f>
        <v>60.289650000000002</v>
      </c>
      <c r="O102" s="221"/>
    </row>
    <row r="103" spans="2:15" ht="33" x14ac:dyDescent="0.3">
      <c r="B103" s="250"/>
      <c r="C103" s="250"/>
      <c r="D103" s="229"/>
      <c r="E103" s="253"/>
      <c r="F103" s="235"/>
      <c r="G103" s="105">
        <v>2</v>
      </c>
      <c r="H103" s="149" t="s">
        <v>506</v>
      </c>
      <c r="I103" s="232"/>
      <c r="J103" s="256"/>
      <c r="K103" s="285"/>
      <c r="L103" s="268"/>
      <c r="M103" s="268"/>
      <c r="N103" s="210"/>
      <c r="O103" s="221"/>
    </row>
    <row r="104" spans="2:15" ht="16.5" x14ac:dyDescent="0.3">
      <c r="B104" s="250"/>
      <c r="C104" s="250"/>
      <c r="D104" s="229"/>
      <c r="E104" s="253"/>
      <c r="F104" s="235"/>
      <c r="G104" s="105">
        <v>3</v>
      </c>
      <c r="H104" s="140"/>
      <c r="I104" s="232"/>
      <c r="J104" s="256"/>
      <c r="K104" s="285"/>
      <c r="L104" s="268"/>
      <c r="M104" s="268"/>
      <c r="N104" s="210"/>
      <c r="O104" s="221"/>
    </row>
    <row r="105" spans="2:15" ht="16.5" x14ac:dyDescent="0.3">
      <c r="B105" s="250"/>
      <c r="C105" s="250"/>
      <c r="D105" s="229"/>
      <c r="E105" s="253"/>
      <c r="F105" s="235"/>
      <c r="G105" s="105">
        <v>4</v>
      </c>
      <c r="H105" s="140"/>
      <c r="I105" s="232"/>
      <c r="J105" s="256"/>
      <c r="K105" s="285"/>
      <c r="L105" s="268"/>
      <c r="M105" s="268"/>
      <c r="N105" s="210"/>
      <c r="O105" s="221"/>
    </row>
    <row r="106" spans="2:15" ht="16.5" x14ac:dyDescent="0.3">
      <c r="B106" s="250"/>
      <c r="C106" s="250"/>
      <c r="D106" s="229"/>
      <c r="E106" s="253"/>
      <c r="F106" s="235"/>
      <c r="G106" s="105">
        <v>5</v>
      </c>
      <c r="H106" s="140"/>
      <c r="I106" s="232"/>
      <c r="J106" s="256"/>
      <c r="K106" s="285"/>
      <c r="L106" s="268"/>
      <c r="M106" s="268"/>
      <c r="N106" s="210"/>
      <c r="O106" s="221"/>
    </row>
    <row r="107" spans="2:15" ht="16.5" x14ac:dyDescent="0.3">
      <c r="B107" s="250"/>
      <c r="C107" s="250"/>
      <c r="D107" s="229"/>
      <c r="E107" s="253"/>
      <c r="F107" s="235"/>
      <c r="G107" s="105">
        <v>6</v>
      </c>
      <c r="H107" s="140"/>
      <c r="I107" s="232"/>
      <c r="J107" s="256"/>
      <c r="K107" s="285"/>
      <c r="L107" s="268"/>
      <c r="M107" s="268"/>
      <c r="N107" s="210"/>
      <c r="O107" s="221"/>
    </row>
    <row r="108" spans="2:15" ht="16.5" x14ac:dyDescent="0.3">
      <c r="B108" s="250"/>
      <c r="C108" s="250"/>
      <c r="D108" s="229"/>
      <c r="E108" s="253"/>
      <c r="F108" s="235"/>
      <c r="G108" s="105">
        <v>7</v>
      </c>
      <c r="H108" s="140"/>
      <c r="I108" s="232"/>
      <c r="J108" s="256"/>
      <c r="K108" s="285"/>
      <c r="L108" s="268"/>
      <c r="M108" s="268"/>
      <c r="N108" s="210"/>
      <c r="O108" s="221"/>
    </row>
    <row r="109" spans="2:15" ht="17.25" thickBot="1" x14ac:dyDescent="0.35">
      <c r="B109" s="251"/>
      <c r="C109" s="251"/>
      <c r="D109" s="230"/>
      <c r="E109" s="254"/>
      <c r="F109" s="236"/>
      <c r="G109" s="109">
        <v>8</v>
      </c>
      <c r="H109" s="141"/>
      <c r="I109" s="233"/>
      <c r="J109" s="257"/>
      <c r="K109" s="286"/>
      <c r="L109" s="268"/>
      <c r="M109" s="268"/>
      <c r="N109" s="210"/>
      <c r="O109" s="221"/>
    </row>
    <row r="110" spans="2:15" ht="33" x14ac:dyDescent="0.3">
      <c r="B110" s="249" t="str">
        <f>+LEFT(C110,3)</f>
        <v>3.2</v>
      </c>
      <c r="C110" s="341" t="s">
        <v>146</v>
      </c>
      <c r="D110" s="228" t="s">
        <v>147</v>
      </c>
      <c r="E110" s="211" t="s">
        <v>460</v>
      </c>
      <c r="F110" s="234">
        <v>3</v>
      </c>
      <c r="G110" s="110">
        <v>1</v>
      </c>
      <c r="H110" s="148" t="s">
        <v>479</v>
      </c>
      <c r="I110" s="231" t="s">
        <v>507</v>
      </c>
      <c r="J110" s="255">
        <v>3</v>
      </c>
      <c r="K110" s="284" t="str">
        <f t="shared" si="17"/>
        <v>Mantenimiento del control</v>
      </c>
      <c r="L110" s="268">
        <f t="shared" si="18"/>
        <v>60</v>
      </c>
      <c r="M110" s="268">
        <v>0.38965300000000003</v>
      </c>
      <c r="N110" s="210">
        <f t="shared" si="19"/>
        <v>60.389653000000003</v>
      </c>
      <c r="O110" s="221"/>
    </row>
    <row r="111" spans="2:15" ht="33" x14ac:dyDescent="0.3">
      <c r="B111" s="250"/>
      <c r="C111" s="342"/>
      <c r="D111" s="229"/>
      <c r="E111" s="212"/>
      <c r="F111" s="235"/>
      <c r="G111" s="105">
        <v>2</v>
      </c>
      <c r="H111" s="149" t="s">
        <v>459</v>
      </c>
      <c r="I111" s="232"/>
      <c r="J111" s="256"/>
      <c r="K111" s="285"/>
      <c r="L111" s="268"/>
      <c r="M111" s="268"/>
      <c r="N111" s="210"/>
      <c r="O111" s="221"/>
    </row>
    <row r="112" spans="2:15" ht="16.5" x14ac:dyDescent="0.3">
      <c r="B112" s="250"/>
      <c r="C112" s="342"/>
      <c r="D112" s="229"/>
      <c r="E112" s="212"/>
      <c r="F112" s="235"/>
      <c r="G112" s="105">
        <v>3</v>
      </c>
      <c r="H112" s="140"/>
      <c r="I112" s="232"/>
      <c r="J112" s="256"/>
      <c r="K112" s="285"/>
      <c r="L112" s="268"/>
      <c r="M112" s="268"/>
      <c r="N112" s="210"/>
      <c r="O112" s="221"/>
    </row>
    <row r="113" spans="2:15" ht="16.5" x14ac:dyDescent="0.3">
      <c r="B113" s="250"/>
      <c r="C113" s="342"/>
      <c r="D113" s="229"/>
      <c r="E113" s="212"/>
      <c r="F113" s="235"/>
      <c r="G113" s="105">
        <v>4</v>
      </c>
      <c r="H113" s="140"/>
      <c r="I113" s="232"/>
      <c r="J113" s="256"/>
      <c r="K113" s="285"/>
      <c r="L113" s="268"/>
      <c r="M113" s="268"/>
      <c r="N113" s="210"/>
      <c r="O113" s="221"/>
    </row>
    <row r="114" spans="2:15" ht="16.5" x14ac:dyDescent="0.3">
      <c r="B114" s="250"/>
      <c r="C114" s="342"/>
      <c r="D114" s="229"/>
      <c r="E114" s="212"/>
      <c r="F114" s="235"/>
      <c r="G114" s="105">
        <v>5</v>
      </c>
      <c r="H114" s="140"/>
      <c r="I114" s="232"/>
      <c r="J114" s="256"/>
      <c r="K114" s="285"/>
      <c r="L114" s="268"/>
      <c r="M114" s="268"/>
      <c r="N114" s="210"/>
      <c r="O114" s="221"/>
    </row>
    <row r="115" spans="2:15" ht="16.5" x14ac:dyDescent="0.3">
      <c r="B115" s="250"/>
      <c r="C115" s="342"/>
      <c r="D115" s="229"/>
      <c r="E115" s="212"/>
      <c r="F115" s="235"/>
      <c r="G115" s="105">
        <v>6</v>
      </c>
      <c r="H115" s="140"/>
      <c r="I115" s="232"/>
      <c r="J115" s="256"/>
      <c r="K115" s="285"/>
      <c r="L115" s="268"/>
      <c r="M115" s="268"/>
      <c r="N115" s="210"/>
      <c r="O115" s="221"/>
    </row>
    <row r="116" spans="2:15" ht="16.5" x14ac:dyDescent="0.3">
      <c r="B116" s="250"/>
      <c r="C116" s="342"/>
      <c r="D116" s="229"/>
      <c r="E116" s="212"/>
      <c r="F116" s="235"/>
      <c r="G116" s="105">
        <v>7</v>
      </c>
      <c r="H116" s="140"/>
      <c r="I116" s="232"/>
      <c r="J116" s="256"/>
      <c r="K116" s="285"/>
      <c r="L116" s="268"/>
      <c r="M116" s="268"/>
      <c r="N116" s="210"/>
      <c r="O116" s="221"/>
    </row>
    <row r="117" spans="2:15" ht="17.25" thickBot="1" x14ac:dyDescent="0.35">
      <c r="B117" s="251"/>
      <c r="C117" s="343"/>
      <c r="D117" s="230"/>
      <c r="E117" s="213"/>
      <c r="F117" s="236"/>
      <c r="G117" s="109">
        <v>8</v>
      </c>
      <c r="H117" s="141"/>
      <c r="I117" s="233"/>
      <c r="J117" s="257"/>
      <c r="K117" s="286"/>
      <c r="L117" s="268"/>
      <c r="M117" s="268"/>
      <c r="N117" s="210"/>
      <c r="O117" s="221"/>
    </row>
    <row r="118" spans="2:15" ht="54.75" customHeight="1" x14ac:dyDescent="0.3">
      <c r="B118" s="249" t="str">
        <f>+LEFT(C118,3)</f>
        <v>3.3</v>
      </c>
      <c r="C118" s="341" t="s">
        <v>148</v>
      </c>
      <c r="D118" s="228" t="s">
        <v>149</v>
      </c>
      <c r="E118" s="211" t="s">
        <v>508</v>
      </c>
      <c r="F118" s="237">
        <v>3</v>
      </c>
      <c r="G118" s="110">
        <v>1</v>
      </c>
      <c r="H118" s="106" t="s">
        <v>509</v>
      </c>
      <c r="I118" s="231" t="s">
        <v>510</v>
      </c>
      <c r="J118" s="338">
        <v>3</v>
      </c>
      <c r="K118" s="284" t="str">
        <f t="shared" si="17"/>
        <v>Mantenimiento del control</v>
      </c>
      <c r="L118" s="268">
        <f t="shared" si="18"/>
        <v>60</v>
      </c>
      <c r="M118" s="268">
        <v>0.48964999999999997</v>
      </c>
      <c r="N118" s="210">
        <f t="shared" si="19"/>
        <v>60.489649999999997</v>
      </c>
      <c r="O118" s="221"/>
    </row>
    <row r="119" spans="2:15" ht="21" customHeight="1" x14ac:dyDescent="0.3">
      <c r="B119" s="250"/>
      <c r="C119" s="342"/>
      <c r="D119" s="229"/>
      <c r="E119" s="212"/>
      <c r="F119" s="238"/>
      <c r="G119" s="105">
        <v>2</v>
      </c>
      <c r="H119" s="140"/>
      <c r="I119" s="232"/>
      <c r="J119" s="339"/>
      <c r="K119" s="285"/>
      <c r="L119" s="268"/>
      <c r="M119" s="268"/>
      <c r="N119" s="210"/>
      <c r="O119" s="221"/>
    </row>
    <row r="120" spans="2:15" ht="21" customHeight="1" x14ac:dyDescent="0.3">
      <c r="B120" s="250"/>
      <c r="C120" s="342"/>
      <c r="D120" s="229"/>
      <c r="E120" s="212"/>
      <c r="F120" s="238"/>
      <c r="G120" s="105">
        <v>3</v>
      </c>
      <c r="H120" s="140"/>
      <c r="I120" s="232"/>
      <c r="J120" s="339"/>
      <c r="K120" s="285"/>
      <c r="L120" s="268"/>
      <c r="M120" s="268"/>
      <c r="N120" s="210"/>
      <c r="O120" s="221"/>
    </row>
    <row r="121" spans="2:15" ht="21" customHeight="1" x14ac:dyDescent="0.3">
      <c r="B121" s="250"/>
      <c r="C121" s="342"/>
      <c r="D121" s="229"/>
      <c r="E121" s="212"/>
      <c r="F121" s="238"/>
      <c r="G121" s="105">
        <v>4</v>
      </c>
      <c r="H121" s="140"/>
      <c r="I121" s="232"/>
      <c r="J121" s="339"/>
      <c r="K121" s="285"/>
      <c r="L121" s="268"/>
      <c r="M121" s="268"/>
      <c r="N121" s="210"/>
      <c r="O121" s="221"/>
    </row>
    <row r="122" spans="2:15" ht="21" customHeight="1" x14ac:dyDescent="0.3">
      <c r="B122" s="250"/>
      <c r="C122" s="342"/>
      <c r="D122" s="229"/>
      <c r="E122" s="212"/>
      <c r="F122" s="238"/>
      <c r="G122" s="105">
        <v>5</v>
      </c>
      <c r="H122" s="140"/>
      <c r="I122" s="232"/>
      <c r="J122" s="339"/>
      <c r="K122" s="285"/>
      <c r="L122" s="268"/>
      <c r="M122" s="268"/>
      <c r="N122" s="210"/>
      <c r="O122" s="221"/>
    </row>
    <row r="123" spans="2:15" ht="21" customHeight="1" x14ac:dyDescent="0.3">
      <c r="B123" s="250"/>
      <c r="C123" s="342"/>
      <c r="D123" s="229"/>
      <c r="E123" s="212"/>
      <c r="F123" s="238"/>
      <c r="G123" s="105">
        <v>6</v>
      </c>
      <c r="H123" s="140"/>
      <c r="I123" s="232"/>
      <c r="J123" s="339"/>
      <c r="K123" s="285"/>
      <c r="L123" s="268"/>
      <c r="M123" s="268"/>
      <c r="N123" s="210"/>
      <c r="O123" s="221"/>
    </row>
    <row r="124" spans="2:15" ht="21" customHeight="1" x14ac:dyDescent="0.3">
      <c r="B124" s="250"/>
      <c r="C124" s="342"/>
      <c r="D124" s="229"/>
      <c r="E124" s="212"/>
      <c r="F124" s="238"/>
      <c r="G124" s="105">
        <v>7</v>
      </c>
      <c r="H124" s="140"/>
      <c r="I124" s="232"/>
      <c r="J124" s="339"/>
      <c r="K124" s="285"/>
      <c r="L124" s="268"/>
      <c r="M124" s="268"/>
      <c r="N124" s="210"/>
      <c r="O124" s="221"/>
    </row>
    <row r="125" spans="2:15" ht="21" customHeight="1" thickBot="1" x14ac:dyDescent="0.35">
      <c r="B125" s="251"/>
      <c r="C125" s="343"/>
      <c r="D125" s="230"/>
      <c r="E125" s="213"/>
      <c r="F125" s="239"/>
      <c r="G125" s="109">
        <v>8</v>
      </c>
      <c r="H125" s="141"/>
      <c r="I125" s="233"/>
      <c r="J125" s="340"/>
      <c r="K125" s="286"/>
      <c r="L125" s="268"/>
      <c r="M125" s="268"/>
      <c r="N125" s="210"/>
      <c r="O125" s="221"/>
    </row>
    <row r="126" spans="2:15" ht="27.75" customHeight="1" x14ac:dyDescent="0.3">
      <c r="B126" s="271"/>
      <c r="C126" s="258" t="s">
        <v>150</v>
      </c>
      <c r="D126" s="260" t="s">
        <v>8</v>
      </c>
      <c r="E126" s="309" t="s">
        <v>113</v>
      </c>
      <c r="F126" s="263" t="s">
        <v>114</v>
      </c>
      <c r="G126" s="301" t="s">
        <v>115</v>
      </c>
      <c r="H126" s="302"/>
      <c r="I126" s="303"/>
      <c r="J126" s="263" t="s">
        <v>116</v>
      </c>
      <c r="K126" s="289" t="s">
        <v>135</v>
      </c>
      <c r="L126" s="269"/>
      <c r="M126" s="269"/>
      <c r="N126" s="219"/>
      <c r="O126" s="222"/>
    </row>
    <row r="127" spans="2:15" ht="66" customHeight="1" x14ac:dyDescent="0.3">
      <c r="B127" s="272"/>
      <c r="C127" s="259"/>
      <c r="D127" s="261"/>
      <c r="E127" s="310"/>
      <c r="F127" s="263"/>
      <c r="G127" s="265" t="s">
        <v>13</v>
      </c>
      <c r="H127" s="311" t="s">
        <v>15</v>
      </c>
      <c r="I127" s="304" t="s">
        <v>136</v>
      </c>
      <c r="J127" s="263"/>
      <c r="K127" s="287"/>
      <c r="L127" s="269"/>
      <c r="M127" s="269"/>
      <c r="N127" s="219"/>
      <c r="O127" s="222"/>
    </row>
    <row r="128" spans="2:15" ht="14.25" customHeight="1" thickBot="1" x14ac:dyDescent="0.35">
      <c r="B128" s="272"/>
      <c r="C128" s="259"/>
      <c r="D128" s="262"/>
      <c r="E128" s="305"/>
      <c r="F128" s="264"/>
      <c r="G128" s="266"/>
      <c r="H128" s="304"/>
      <c r="I128" s="305"/>
      <c r="J128" s="264"/>
      <c r="K128" s="288"/>
      <c r="L128" s="269"/>
      <c r="M128" s="269"/>
      <c r="N128" s="219"/>
      <c r="O128" s="222"/>
    </row>
    <row r="129" spans="2:15" ht="62.25" customHeight="1" x14ac:dyDescent="0.3">
      <c r="B129" s="249" t="str">
        <f>+LEFT(C129,3)</f>
        <v>4.1</v>
      </c>
      <c r="C129" s="249" t="s">
        <v>151</v>
      </c>
      <c r="D129" s="228" t="s">
        <v>152</v>
      </c>
      <c r="E129" s="312" t="s">
        <v>511</v>
      </c>
      <c r="F129" s="234">
        <v>3</v>
      </c>
      <c r="G129" s="110">
        <v>1</v>
      </c>
      <c r="H129" s="106" t="s">
        <v>512</v>
      </c>
      <c r="I129" s="150" t="s">
        <v>513</v>
      </c>
      <c r="J129" s="237">
        <v>2</v>
      </c>
      <c r="K129" s="267" t="str">
        <f t="shared" ref="K129:K177" si="20">+IF(OR(ISBLANK(F129),ISBLANK(J129)),"",IF(OR(AND(F129=1,J129=1),AND(F129=1,J129=2),AND(F129=1,J129=3)),"Deficiencia de control mayor (diseño y ejecución)",IF(OR(AND(F129=2,J129=2),AND(F129=3,J129=1),AND(F129=3,J129=2),AND(F129=2,J129=1)),"Deficiencia de control (diseño o ejecución)",IF(AND(F129=2,J129=3),"Oportunidad de mejora","Mantenimiento del control"))))</f>
        <v>Deficiencia de control (diseño o ejecución)</v>
      </c>
      <c r="L129" s="268">
        <f t="shared" ref="L129:L177" si="21">+IF(K129="",0,IF(K129="Deficiencia de control mayor (diseño y ejecución)",4,IF(K129="Deficiencia de control (diseño o ejecución)",20,IF(K129="Oportunidad de mejora",40,60))))</f>
        <v>20</v>
      </c>
      <c r="M129" s="268">
        <v>0.58965000000000001</v>
      </c>
      <c r="N129" s="210">
        <f t="shared" ref="N129:N177" si="22">+L129+M129</f>
        <v>20.589649999999999</v>
      </c>
      <c r="O129" s="221"/>
    </row>
    <row r="130" spans="2:15" ht="21" customHeight="1" x14ac:dyDescent="0.3">
      <c r="B130" s="250"/>
      <c r="C130" s="250"/>
      <c r="D130" s="229"/>
      <c r="E130" s="313"/>
      <c r="F130" s="235"/>
      <c r="G130" s="105">
        <v>2</v>
      </c>
      <c r="H130" s="140"/>
      <c r="I130" s="138"/>
      <c r="J130" s="238"/>
      <c r="K130" s="267"/>
      <c r="L130" s="268"/>
      <c r="M130" s="268"/>
      <c r="N130" s="210"/>
      <c r="O130" s="221"/>
    </row>
    <row r="131" spans="2:15" ht="21" customHeight="1" x14ac:dyDescent="0.3">
      <c r="B131" s="250"/>
      <c r="C131" s="250"/>
      <c r="D131" s="229"/>
      <c r="E131" s="313"/>
      <c r="F131" s="235"/>
      <c r="G131" s="105">
        <v>3</v>
      </c>
      <c r="H131" s="140"/>
      <c r="I131" s="138"/>
      <c r="J131" s="238"/>
      <c r="K131" s="267"/>
      <c r="L131" s="268"/>
      <c r="M131" s="268"/>
      <c r="N131" s="210"/>
      <c r="O131" s="221"/>
    </row>
    <row r="132" spans="2:15" ht="21" customHeight="1" x14ac:dyDescent="0.3">
      <c r="B132" s="250"/>
      <c r="C132" s="250"/>
      <c r="D132" s="229"/>
      <c r="E132" s="313"/>
      <c r="F132" s="235"/>
      <c r="G132" s="105">
        <v>4</v>
      </c>
      <c r="H132" s="140"/>
      <c r="I132" s="138"/>
      <c r="J132" s="238"/>
      <c r="K132" s="267"/>
      <c r="L132" s="268"/>
      <c r="M132" s="268"/>
      <c r="N132" s="210"/>
      <c r="O132" s="221"/>
    </row>
    <row r="133" spans="2:15" ht="21" customHeight="1" x14ac:dyDescent="0.3">
      <c r="B133" s="250"/>
      <c r="C133" s="250"/>
      <c r="D133" s="229"/>
      <c r="E133" s="313"/>
      <c r="F133" s="235"/>
      <c r="G133" s="105">
        <v>5</v>
      </c>
      <c r="H133" s="140"/>
      <c r="I133" s="138"/>
      <c r="J133" s="238"/>
      <c r="K133" s="267"/>
      <c r="L133" s="268"/>
      <c r="M133" s="268"/>
      <c r="N133" s="210"/>
      <c r="O133" s="221"/>
    </row>
    <row r="134" spans="2:15" ht="21" customHeight="1" x14ac:dyDescent="0.3">
      <c r="B134" s="250"/>
      <c r="C134" s="250"/>
      <c r="D134" s="229"/>
      <c r="E134" s="313"/>
      <c r="F134" s="235"/>
      <c r="G134" s="105">
        <v>6</v>
      </c>
      <c r="H134" s="140"/>
      <c r="I134" s="138"/>
      <c r="J134" s="238"/>
      <c r="K134" s="267"/>
      <c r="L134" s="268"/>
      <c r="M134" s="268"/>
      <c r="N134" s="210"/>
      <c r="O134" s="221"/>
    </row>
    <row r="135" spans="2:15" ht="21" customHeight="1" x14ac:dyDescent="0.3">
      <c r="B135" s="250"/>
      <c r="C135" s="250"/>
      <c r="D135" s="229"/>
      <c r="E135" s="313"/>
      <c r="F135" s="235"/>
      <c r="G135" s="105">
        <v>7</v>
      </c>
      <c r="H135" s="140"/>
      <c r="I135" s="138"/>
      <c r="J135" s="238"/>
      <c r="K135" s="267"/>
      <c r="L135" s="268"/>
      <c r="M135" s="268"/>
      <c r="N135" s="210"/>
      <c r="O135" s="221"/>
    </row>
    <row r="136" spans="2:15" ht="21" customHeight="1" thickBot="1" x14ac:dyDescent="0.35">
      <c r="B136" s="251"/>
      <c r="C136" s="251"/>
      <c r="D136" s="230"/>
      <c r="E136" s="314"/>
      <c r="F136" s="236"/>
      <c r="G136" s="109">
        <v>8</v>
      </c>
      <c r="H136" s="141"/>
      <c r="I136" s="139"/>
      <c r="J136" s="239"/>
      <c r="K136" s="267"/>
      <c r="L136" s="268"/>
      <c r="M136" s="268"/>
      <c r="N136" s="210"/>
      <c r="O136" s="221"/>
    </row>
    <row r="137" spans="2:15" ht="58.5" customHeight="1" x14ac:dyDescent="0.3">
      <c r="B137" s="249" t="str">
        <f>+LEFT(C137,3)</f>
        <v>4.2</v>
      </c>
      <c r="C137" s="249" t="s">
        <v>153</v>
      </c>
      <c r="D137" s="228" t="s">
        <v>152</v>
      </c>
      <c r="E137" s="312" t="s">
        <v>514</v>
      </c>
      <c r="F137" s="234">
        <v>3</v>
      </c>
      <c r="G137" s="110">
        <v>1</v>
      </c>
      <c r="H137" s="106" t="s">
        <v>515</v>
      </c>
      <c r="I137" s="137" t="s">
        <v>516</v>
      </c>
      <c r="J137" s="237">
        <v>3</v>
      </c>
      <c r="K137" s="267" t="str">
        <f t="shared" si="20"/>
        <v>Mantenimiento del control</v>
      </c>
      <c r="L137" s="268">
        <f t="shared" si="21"/>
        <v>60</v>
      </c>
      <c r="M137" s="268">
        <v>0.68964999999999999</v>
      </c>
      <c r="N137" s="210">
        <f t="shared" si="22"/>
        <v>60.68965</v>
      </c>
      <c r="O137" s="221"/>
    </row>
    <row r="138" spans="2:15" ht="16.5" x14ac:dyDescent="0.3">
      <c r="B138" s="250"/>
      <c r="C138" s="250"/>
      <c r="D138" s="229"/>
      <c r="E138" s="313"/>
      <c r="F138" s="235"/>
      <c r="G138" s="105">
        <v>2</v>
      </c>
      <c r="H138" s="140"/>
      <c r="I138" s="138"/>
      <c r="J138" s="238"/>
      <c r="K138" s="267"/>
      <c r="L138" s="268"/>
      <c r="M138" s="268"/>
      <c r="N138" s="210"/>
      <c r="O138" s="221"/>
    </row>
    <row r="139" spans="2:15" ht="21" customHeight="1" x14ac:dyDescent="0.3">
      <c r="B139" s="250"/>
      <c r="C139" s="250"/>
      <c r="D139" s="229"/>
      <c r="E139" s="313"/>
      <c r="F139" s="235"/>
      <c r="G139" s="105">
        <v>3</v>
      </c>
      <c r="H139" s="140"/>
      <c r="I139" s="138"/>
      <c r="J139" s="238"/>
      <c r="K139" s="267"/>
      <c r="L139" s="268"/>
      <c r="M139" s="268"/>
      <c r="N139" s="210"/>
      <c r="O139" s="221"/>
    </row>
    <row r="140" spans="2:15" ht="21" customHeight="1" x14ac:dyDescent="0.3">
      <c r="B140" s="250"/>
      <c r="C140" s="250"/>
      <c r="D140" s="229"/>
      <c r="E140" s="313"/>
      <c r="F140" s="235"/>
      <c r="G140" s="105">
        <v>4</v>
      </c>
      <c r="H140" s="140"/>
      <c r="I140" s="138"/>
      <c r="J140" s="238"/>
      <c r="K140" s="267"/>
      <c r="L140" s="268"/>
      <c r="M140" s="268"/>
      <c r="N140" s="210"/>
      <c r="O140" s="221"/>
    </row>
    <row r="141" spans="2:15" ht="21" customHeight="1" x14ac:dyDescent="0.3">
      <c r="B141" s="250"/>
      <c r="C141" s="250"/>
      <c r="D141" s="229"/>
      <c r="E141" s="313"/>
      <c r="F141" s="235"/>
      <c r="G141" s="105">
        <v>5</v>
      </c>
      <c r="H141" s="140"/>
      <c r="I141" s="138"/>
      <c r="J141" s="238"/>
      <c r="K141" s="267"/>
      <c r="L141" s="268"/>
      <c r="M141" s="268"/>
      <c r="N141" s="210"/>
      <c r="O141" s="221"/>
    </row>
    <row r="142" spans="2:15" ht="21" customHeight="1" x14ac:dyDescent="0.3">
      <c r="B142" s="250"/>
      <c r="C142" s="250"/>
      <c r="D142" s="229"/>
      <c r="E142" s="313"/>
      <c r="F142" s="235"/>
      <c r="G142" s="105">
        <v>6</v>
      </c>
      <c r="H142" s="140"/>
      <c r="I142" s="138"/>
      <c r="J142" s="238"/>
      <c r="K142" s="267"/>
      <c r="L142" s="268"/>
      <c r="M142" s="268"/>
      <c r="N142" s="210"/>
      <c r="O142" s="221"/>
    </row>
    <row r="143" spans="2:15" ht="21" customHeight="1" x14ac:dyDescent="0.3">
      <c r="B143" s="250"/>
      <c r="C143" s="250"/>
      <c r="D143" s="229"/>
      <c r="E143" s="313"/>
      <c r="F143" s="235"/>
      <c r="G143" s="105">
        <v>7</v>
      </c>
      <c r="H143" s="140"/>
      <c r="I143" s="138"/>
      <c r="J143" s="238"/>
      <c r="K143" s="267"/>
      <c r="L143" s="268"/>
      <c r="M143" s="268"/>
      <c r="N143" s="210"/>
      <c r="O143" s="221"/>
    </row>
    <row r="144" spans="2:15" ht="21" customHeight="1" thickBot="1" x14ac:dyDescent="0.35">
      <c r="B144" s="251"/>
      <c r="C144" s="251"/>
      <c r="D144" s="230"/>
      <c r="E144" s="314"/>
      <c r="F144" s="236"/>
      <c r="G144" s="109">
        <v>8</v>
      </c>
      <c r="H144" s="141"/>
      <c r="I144" s="139"/>
      <c r="J144" s="239"/>
      <c r="K144" s="267"/>
      <c r="L144" s="268"/>
      <c r="M144" s="268"/>
      <c r="N144" s="210"/>
      <c r="O144" s="221"/>
    </row>
    <row r="145" spans="2:15" ht="64.5" customHeight="1" x14ac:dyDescent="0.3">
      <c r="B145" s="249" t="str">
        <f>+LEFT(C145,3)</f>
        <v>4.3</v>
      </c>
      <c r="C145" s="249" t="s">
        <v>154</v>
      </c>
      <c r="D145" s="228" t="s">
        <v>152</v>
      </c>
      <c r="E145" s="214" t="s">
        <v>547</v>
      </c>
      <c r="F145" s="237">
        <v>3</v>
      </c>
      <c r="G145" s="110">
        <v>1</v>
      </c>
      <c r="H145" s="106" t="s">
        <v>461</v>
      </c>
      <c r="I145" s="148" t="s">
        <v>548</v>
      </c>
      <c r="J145" s="237">
        <v>2</v>
      </c>
      <c r="K145" s="267" t="str">
        <f t="shared" si="20"/>
        <v>Deficiencia de control (diseño o ejecución)</v>
      </c>
      <c r="L145" s="268">
        <f t="shared" si="21"/>
        <v>20</v>
      </c>
      <c r="M145" s="268">
        <v>0.78964999999999996</v>
      </c>
      <c r="N145" s="210">
        <f t="shared" si="22"/>
        <v>20.789650000000002</v>
      </c>
      <c r="O145" s="221"/>
    </row>
    <row r="146" spans="2:15" ht="21" customHeight="1" x14ac:dyDescent="0.3">
      <c r="B146" s="250"/>
      <c r="C146" s="250"/>
      <c r="D146" s="229"/>
      <c r="E146" s="215"/>
      <c r="F146" s="238"/>
      <c r="G146" s="105">
        <v>2</v>
      </c>
      <c r="H146" s="140"/>
      <c r="I146" s="138"/>
      <c r="J146" s="238"/>
      <c r="K146" s="267"/>
      <c r="L146" s="268"/>
      <c r="M146" s="268"/>
      <c r="N146" s="210"/>
      <c r="O146" s="221"/>
    </row>
    <row r="147" spans="2:15" ht="21" customHeight="1" x14ac:dyDescent="0.3">
      <c r="B147" s="250"/>
      <c r="C147" s="250"/>
      <c r="D147" s="229"/>
      <c r="E147" s="215"/>
      <c r="F147" s="238"/>
      <c r="G147" s="105">
        <v>3</v>
      </c>
      <c r="H147" s="140"/>
      <c r="I147" s="138"/>
      <c r="J147" s="238"/>
      <c r="K147" s="267"/>
      <c r="L147" s="268"/>
      <c r="M147" s="268"/>
      <c r="N147" s="210"/>
      <c r="O147" s="221"/>
    </row>
    <row r="148" spans="2:15" ht="21" customHeight="1" x14ac:dyDescent="0.3">
      <c r="B148" s="250"/>
      <c r="C148" s="250"/>
      <c r="D148" s="229"/>
      <c r="E148" s="215"/>
      <c r="F148" s="238"/>
      <c r="G148" s="105">
        <v>4</v>
      </c>
      <c r="H148" s="140"/>
      <c r="I148" s="138"/>
      <c r="J148" s="238"/>
      <c r="K148" s="267"/>
      <c r="L148" s="268"/>
      <c r="M148" s="268"/>
      <c r="N148" s="210"/>
      <c r="O148" s="221"/>
    </row>
    <row r="149" spans="2:15" ht="21" customHeight="1" x14ac:dyDescent="0.3">
      <c r="B149" s="250"/>
      <c r="C149" s="250"/>
      <c r="D149" s="229"/>
      <c r="E149" s="215"/>
      <c r="F149" s="238"/>
      <c r="G149" s="105">
        <v>5</v>
      </c>
      <c r="H149" s="140"/>
      <c r="I149" s="138"/>
      <c r="J149" s="238"/>
      <c r="K149" s="267"/>
      <c r="L149" s="268"/>
      <c r="M149" s="268"/>
      <c r="N149" s="210"/>
      <c r="O149" s="221"/>
    </row>
    <row r="150" spans="2:15" ht="21" customHeight="1" x14ac:dyDescent="0.3">
      <c r="B150" s="250"/>
      <c r="C150" s="250"/>
      <c r="D150" s="229"/>
      <c r="E150" s="215"/>
      <c r="F150" s="238"/>
      <c r="G150" s="105">
        <v>6</v>
      </c>
      <c r="H150" s="140"/>
      <c r="I150" s="138"/>
      <c r="J150" s="238"/>
      <c r="K150" s="267"/>
      <c r="L150" s="268"/>
      <c r="M150" s="268"/>
      <c r="N150" s="210"/>
      <c r="O150" s="221"/>
    </row>
    <row r="151" spans="2:15" ht="21" customHeight="1" x14ac:dyDescent="0.3">
      <c r="B151" s="250"/>
      <c r="C151" s="250"/>
      <c r="D151" s="229"/>
      <c r="E151" s="215"/>
      <c r="F151" s="238"/>
      <c r="G151" s="105">
        <v>7</v>
      </c>
      <c r="H151" s="140"/>
      <c r="I151" s="138"/>
      <c r="J151" s="238"/>
      <c r="K151" s="267"/>
      <c r="L151" s="268"/>
      <c r="M151" s="268"/>
      <c r="N151" s="210"/>
      <c r="O151" s="221"/>
    </row>
    <row r="152" spans="2:15" ht="21" customHeight="1" thickBot="1" x14ac:dyDescent="0.35">
      <c r="B152" s="251"/>
      <c r="C152" s="251"/>
      <c r="D152" s="230"/>
      <c r="E152" s="216"/>
      <c r="F152" s="239"/>
      <c r="G152" s="109">
        <v>8</v>
      </c>
      <c r="H152" s="141"/>
      <c r="I152" s="139"/>
      <c r="J152" s="239"/>
      <c r="K152" s="267"/>
      <c r="L152" s="268"/>
      <c r="M152" s="268"/>
      <c r="N152" s="210"/>
      <c r="O152" s="221"/>
    </row>
    <row r="153" spans="2:15" ht="62.25" customHeight="1" x14ac:dyDescent="0.3">
      <c r="B153" s="249" t="str">
        <f>+LEFT(C153,3)</f>
        <v>4.4</v>
      </c>
      <c r="C153" s="249" t="s">
        <v>155</v>
      </c>
      <c r="D153" s="228" t="s">
        <v>152</v>
      </c>
      <c r="E153" s="214" t="s">
        <v>517</v>
      </c>
      <c r="F153" s="237">
        <v>3</v>
      </c>
      <c r="G153" s="110">
        <v>1</v>
      </c>
      <c r="H153" s="148" t="s">
        <v>444</v>
      </c>
      <c r="I153" s="150" t="s">
        <v>519</v>
      </c>
      <c r="J153" s="237">
        <v>3</v>
      </c>
      <c r="K153" s="267" t="str">
        <f t="shared" si="20"/>
        <v>Mantenimiento del control</v>
      </c>
      <c r="L153" s="268">
        <f t="shared" si="21"/>
        <v>60</v>
      </c>
      <c r="M153" s="268">
        <v>0.88965000000000005</v>
      </c>
      <c r="N153" s="210">
        <f t="shared" si="22"/>
        <v>60.889650000000003</v>
      </c>
      <c r="O153" s="221"/>
    </row>
    <row r="154" spans="2:15" ht="33.950000000000003" customHeight="1" x14ac:dyDescent="0.3">
      <c r="B154" s="250"/>
      <c r="C154" s="250"/>
      <c r="D154" s="229"/>
      <c r="E154" s="215"/>
      <c r="F154" s="238"/>
      <c r="G154" s="105">
        <v>2</v>
      </c>
      <c r="H154" s="149" t="s">
        <v>518</v>
      </c>
      <c r="I154" s="138"/>
      <c r="J154" s="238"/>
      <c r="K154" s="267"/>
      <c r="L154" s="268"/>
      <c r="M154" s="268"/>
      <c r="N154" s="210"/>
      <c r="O154" s="221"/>
    </row>
    <row r="155" spans="2:15" ht="21" customHeight="1" x14ac:dyDescent="0.3">
      <c r="B155" s="250"/>
      <c r="C155" s="250"/>
      <c r="D155" s="229"/>
      <c r="E155" s="215"/>
      <c r="F155" s="238"/>
      <c r="G155" s="105">
        <v>3</v>
      </c>
      <c r="H155" s="140"/>
      <c r="I155" s="138"/>
      <c r="J155" s="238"/>
      <c r="K155" s="267"/>
      <c r="L155" s="268"/>
      <c r="M155" s="268"/>
      <c r="N155" s="210"/>
      <c r="O155" s="221"/>
    </row>
    <row r="156" spans="2:15" ht="39.950000000000003" customHeight="1" x14ac:dyDescent="0.3">
      <c r="B156" s="250"/>
      <c r="C156" s="250"/>
      <c r="D156" s="229"/>
      <c r="E156" s="215"/>
      <c r="F156" s="238"/>
      <c r="G156" s="105">
        <v>4</v>
      </c>
      <c r="H156" s="140"/>
      <c r="I156" s="138"/>
      <c r="J156" s="238"/>
      <c r="K156" s="267"/>
      <c r="L156" s="268"/>
      <c r="M156" s="268"/>
      <c r="N156" s="210"/>
      <c r="O156" s="221"/>
    </row>
    <row r="157" spans="2:15" ht="21" customHeight="1" x14ac:dyDescent="0.3">
      <c r="B157" s="250"/>
      <c r="C157" s="250"/>
      <c r="D157" s="229"/>
      <c r="E157" s="215"/>
      <c r="F157" s="238"/>
      <c r="G157" s="105">
        <v>5</v>
      </c>
      <c r="H157" s="140"/>
      <c r="I157" s="138"/>
      <c r="J157" s="238"/>
      <c r="K157" s="267"/>
      <c r="L157" s="268"/>
      <c r="M157" s="268"/>
      <c r="N157" s="210"/>
      <c r="O157" s="221"/>
    </row>
    <row r="158" spans="2:15" ht="21" customHeight="1" x14ac:dyDescent="0.3">
      <c r="B158" s="250"/>
      <c r="C158" s="250"/>
      <c r="D158" s="229"/>
      <c r="E158" s="215"/>
      <c r="F158" s="238"/>
      <c r="G158" s="105">
        <v>6</v>
      </c>
      <c r="H158" s="140"/>
      <c r="I158" s="138"/>
      <c r="J158" s="238"/>
      <c r="K158" s="267"/>
      <c r="L158" s="268"/>
      <c r="M158" s="268"/>
      <c r="N158" s="210"/>
      <c r="O158" s="221"/>
    </row>
    <row r="159" spans="2:15" ht="21" customHeight="1" x14ac:dyDescent="0.3">
      <c r="B159" s="250"/>
      <c r="C159" s="250"/>
      <c r="D159" s="229"/>
      <c r="E159" s="215"/>
      <c r="F159" s="238"/>
      <c r="G159" s="105">
        <v>7</v>
      </c>
      <c r="H159" s="140"/>
      <c r="I159" s="138"/>
      <c r="J159" s="238"/>
      <c r="K159" s="267"/>
      <c r="L159" s="268"/>
      <c r="M159" s="268"/>
      <c r="N159" s="210"/>
      <c r="O159" s="221"/>
    </row>
    <row r="160" spans="2:15" ht="27" customHeight="1" thickBot="1" x14ac:dyDescent="0.35">
      <c r="B160" s="251"/>
      <c r="C160" s="251"/>
      <c r="D160" s="230"/>
      <c r="E160" s="216"/>
      <c r="F160" s="239"/>
      <c r="G160" s="109">
        <v>8</v>
      </c>
      <c r="H160" s="141"/>
      <c r="I160" s="139"/>
      <c r="J160" s="239"/>
      <c r="K160" s="267"/>
      <c r="L160" s="268"/>
      <c r="M160" s="268"/>
      <c r="N160" s="210"/>
      <c r="O160" s="221"/>
    </row>
    <row r="161" spans="2:15" ht="54.75" customHeight="1" x14ac:dyDescent="0.3">
      <c r="B161" s="249" t="str">
        <f>+LEFT(C161,3)</f>
        <v>4.5</v>
      </c>
      <c r="C161" s="249" t="s">
        <v>156</v>
      </c>
      <c r="D161" s="228" t="s">
        <v>152</v>
      </c>
      <c r="E161" s="211" t="s">
        <v>520</v>
      </c>
      <c r="F161" s="237">
        <v>3</v>
      </c>
      <c r="G161" s="110">
        <v>1</v>
      </c>
      <c r="H161" s="106" t="s">
        <v>521</v>
      </c>
      <c r="I161" s="150" t="s">
        <v>443</v>
      </c>
      <c r="J161" s="237">
        <v>3</v>
      </c>
      <c r="K161" s="267" t="str">
        <f t="shared" si="20"/>
        <v>Mantenimiento del control</v>
      </c>
      <c r="L161" s="268">
        <f t="shared" si="21"/>
        <v>60</v>
      </c>
      <c r="M161" s="268">
        <v>0.98965000000000003</v>
      </c>
      <c r="N161" s="217">
        <f t="shared" si="22"/>
        <v>60.989649999999997</v>
      </c>
      <c r="O161" s="223"/>
    </row>
    <row r="162" spans="2:15" ht="21" customHeight="1" x14ac:dyDescent="0.3">
      <c r="B162" s="250"/>
      <c r="C162" s="250"/>
      <c r="D162" s="229"/>
      <c r="E162" s="212"/>
      <c r="F162" s="238"/>
      <c r="G162" s="105">
        <v>2</v>
      </c>
      <c r="H162" s="140"/>
      <c r="I162" s="138"/>
      <c r="J162" s="238"/>
      <c r="K162" s="267"/>
      <c r="L162" s="268"/>
      <c r="M162" s="268"/>
      <c r="N162" s="217"/>
      <c r="O162" s="223"/>
    </row>
    <row r="163" spans="2:15" ht="21" customHeight="1" x14ac:dyDescent="0.3">
      <c r="B163" s="250"/>
      <c r="C163" s="250"/>
      <c r="D163" s="229"/>
      <c r="E163" s="212"/>
      <c r="F163" s="238"/>
      <c r="G163" s="105">
        <v>3</v>
      </c>
      <c r="H163" s="140"/>
      <c r="I163" s="138"/>
      <c r="J163" s="238"/>
      <c r="K163" s="267"/>
      <c r="L163" s="268"/>
      <c r="M163" s="268"/>
      <c r="N163" s="217"/>
      <c r="O163" s="223"/>
    </row>
    <row r="164" spans="2:15" ht="21" customHeight="1" x14ac:dyDescent="0.3">
      <c r="B164" s="250"/>
      <c r="C164" s="250"/>
      <c r="D164" s="229"/>
      <c r="E164" s="212"/>
      <c r="F164" s="238"/>
      <c r="G164" s="105">
        <v>4</v>
      </c>
      <c r="H164" s="140"/>
      <c r="I164" s="138"/>
      <c r="J164" s="238"/>
      <c r="K164" s="267"/>
      <c r="L164" s="268"/>
      <c r="M164" s="268"/>
      <c r="N164" s="217"/>
      <c r="O164" s="223"/>
    </row>
    <row r="165" spans="2:15" ht="21" customHeight="1" x14ac:dyDescent="0.3">
      <c r="B165" s="250"/>
      <c r="C165" s="250"/>
      <c r="D165" s="229"/>
      <c r="E165" s="212"/>
      <c r="F165" s="238"/>
      <c r="G165" s="105">
        <v>5</v>
      </c>
      <c r="H165" s="140"/>
      <c r="I165" s="138"/>
      <c r="J165" s="238"/>
      <c r="K165" s="267"/>
      <c r="L165" s="268"/>
      <c r="M165" s="268"/>
      <c r="N165" s="217"/>
      <c r="O165" s="223"/>
    </row>
    <row r="166" spans="2:15" ht="21" customHeight="1" x14ac:dyDescent="0.3">
      <c r="B166" s="250"/>
      <c r="C166" s="250"/>
      <c r="D166" s="229"/>
      <c r="E166" s="212"/>
      <c r="F166" s="238"/>
      <c r="G166" s="105">
        <v>6</v>
      </c>
      <c r="H166" s="140"/>
      <c r="I166" s="138"/>
      <c r="J166" s="238"/>
      <c r="K166" s="267"/>
      <c r="L166" s="268"/>
      <c r="M166" s="268"/>
      <c r="N166" s="217"/>
      <c r="O166" s="223"/>
    </row>
    <row r="167" spans="2:15" ht="21" customHeight="1" x14ac:dyDescent="0.3">
      <c r="B167" s="250"/>
      <c r="C167" s="250"/>
      <c r="D167" s="229"/>
      <c r="E167" s="212"/>
      <c r="F167" s="238"/>
      <c r="G167" s="105">
        <v>7</v>
      </c>
      <c r="H167" s="140"/>
      <c r="I167" s="138"/>
      <c r="J167" s="238"/>
      <c r="K167" s="267"/>
      <c r="L167" s="268"/>
      <c r="M167" s="268"/>
      <c r="N167" s="217"/>
      <c r="O167" s="223"/>
    </row>
    <row r="168" spans="2:15" ht="21" customHeight="1" thickBot="1" x14ac:dyDescent="0.35">
      <c r="B168" s="251"/>
      <c r="C168" s="251"/>
      <c r="D168" s="230"/>
      <c r="E168" s="213"/>
      <c r="F168" s="239"/>
      <c r="G168" s="109">
        <v>8</v>
      </c>
      <c r="H168" s="141"/>
      <c r="I168" s="139"/>
      <c r="J168" s="239"/>
      <c r="K168" s="267"/>
      <c r="L168" s="268"/>
      <c r="M168" s="268"/>
      <c r="N168" s="217"/>
      <c r="O168" s="223"/>
    </row>
    <row r="169" spans="2:15" ht="63.75" customHeight="1" x14ac:dyDescent="0.3">
      <c r="B169" s="249" t="str">
        <f>+LEFT(C169,3)</f>
        <v>4.6</v>
      </c>
      <c r="C169" s="225" t="s">
        <v>157</v>
      </c>
      <c r="D169" s="228" t="s">
        <v>152</v>
      </c>
      <c r="E169" s="243" t="s">
        <v>522</v>
      </c>
      <c r="F169" s="237">
        <v>3</v>
      </c>
      <c r="G169" s="110">
        <v>1</v>
      </c>
      <c r="H169" s="106" t="s">
        <v>523</v>
      </c>
      <c r="I169" s="231" t="s">
        <v>524</v>
      </c>
      <c r="J169" s="237">
        <v>2</v>
      </c>
      <c r="K169" s="246" t="str">
        <f t="shared" si="20"/>
        <v>Deficiencia de control (diseño o ejecución)</v>
      </c>
      <c r="L169" s="268">
        <f t="shared" si="21"/>
        <v>20</v>
      </c>
      <c r="M169" s="268">
        <v>0.98965199999999998</v>
      </c>
      <c r="N169" s="218">
        <f t="shared" si="22"/>
        <v>20.989652</v>
      </c>
      <c r="O169" s="224"/>
    </row>
    <row r="170" spans="2:15" ht="21" customHeight="1" x14ac:dyDescent="0.3">
      <c r="B170" s="250"/>
      <c r="C170" s="226"/>
      <c r="D170" s="229"/>
      <c r="E170" s="244"/>
      <c r="F170" s="238"/>
      <c r="G170" s="105">
        <v>2</v>
      </c>
      <c r="H170" s="140"/>
      <c r="I170" s="232"/>
      <c r="J170" s="238"/>
      <c r="K170" s="247"/>
      <c r="L170" s="268"/>
      <c r="M170" s="268"/>
      <c r="N170" s="218"/>
      <c r="O170" s="224"/>
    </row>
    <row r="171" spans="2:15" ht="21" customHeight="1" x14ac:dyDescent="0.3">
      <c r="B171" s="250"/>
      <c r="C171" s="226"/>
      <c r="D171" s="229"/>
      <c r="E171" s="244"/>
      <c r="F171" s="238"/>
      <c r="G171" s="105">
        <v>3</v>
      </c>
      <c r="H171" s="140"/>
      <c r="I171" s="232"/>
      <c r="J171" s="238"/>
      <c r="K171" s="247"/>
      <c r="L171" s="268"/>
      <c r="M171" s="268"/>
      <c r="N171" s="218"/>
      <c r="O171" s="224"/>
    </row>
    <row r="172" spans="2:15" ht="21" customHeight="1" x14ac:dyDescent="0.3">
      <c r="B172" s="250"/>
      <c r="C172" s="226"/>
      <c r="D172" s="229"/>
      <c r="E172" s="244"/>
      <c r="F172" s="238"/>
      <c r="G172" s="105">
        <v>4</v>
      </c>
      <c r="H172" s="140"/>
      <c r="I172" s="232"/>
      <c r="J172" s="238"/>
      <c r="K172" s="247"/>
      <c r="L172" s="268"/>
      <c r="M172" s="268"/>
      <c r="N172" s="218"/>
      <c r="O172" s="224"/>
    </row>
    <row r="173" spans="2:15" ht="21" customHeight="1" x14ac:dyDescent="0.3">
      <c r="B173" s="250"/>
      <c r="C173" s="226"/>
      <c r="D173" s="229"/>
      <c r="E173" s="244"/>
      <c r="F173" s="238"/>
      <c r="G173" s="105">
        <v>5</v>
      </c>
      <c r="H173" s="140"/>
      <c r="I173" s="232"/>
      <c r="J173" s="238"/>
      <c r="K173" s="247"/>
      <c r="L173" s="268"/>
      <c r="M173" s="268"/>
      <c r="N173" s="218"/>
      <c r="O173" s="224"/>
    </row>
    <row r="174" spans="2:15" ht="21" customHeight="1" x14ac:dyDescent="0.3">
      <c r="B174" s="250"/>
      <c r="C174" s="226"/>
      <c r="D174" s="229"/>
      <c r="E174" s="244"/>
      <c r="F174" s="238"/>
      <c r="G174" s="105">
        <v>6</v>
      </c>
      <c r="H174" s="140"/>
      <c r="I174" s="232"/>
      <c r="J174" s="238"/>
      <c r="K174" s="247"/>
      <c r="L174" s="268"/>
      <c r="M174" s="268"/>
      <c r="N174" s="218"/>
      <c r="O174" s="224"/>
    </row>
    <row r="175" spans="2:15" ht="21" customHeight="1" x14ac:dyDescent="0.3">
      <c r="B175" s="250"/>
      <c r="C175" s="226"/>
      <c r="D175" s="229"/>
      <c r="E175" s="244"/>
      <c r="F175" s="238"/>
      <c r="G175" s="105">
        <v>7</v>
      </c>
      <c r="H175" s="140"/>
      <c r="I175" s="232"/>
      <c r="J175" s="238"/>
      <c r="K175" s="247"/>
      <c r="L175" s="268"/>
      <c r="M175" s="268"/>
      <c r="N175" s="218"/>
      <c r="O175" s="224"/>
    </row>
    <row r="176" spans="2:15" ht="21" customHeight="1" thickBot="1" x14ac:dyDescent="0.35">
      <c r="B176" s="251"/>
      <c r="C176" s="227"/>
      <c r="D176" s="230"/>
      <c r="E176" s="245"/>
      <c r="F176" s="239"/>
      <c r="G176" s="109">
        <v>8</v>
      </c>
      <c r="H176" s="141"/>
      <c r="I176" s="233"/>
      <c r="J176" s="239"/>
      <c r="K176" s="248"/>
      <c r="L176" s="268"/>
      <c r="M176" s="268"/>
      <c r="N176" s="218"/>
      <c r="O176" s="224"/>
    </row>
    <row r="177" spans="2:15" ht="68.25" customHeight="1" x14ac:dyDescent="0.3">
      <c r="B177" s="249" t="str">
        <f>+LEFT(C177,3)</f>
        <v>4.7</v>
      </c>
      <c r="C177" s="306" t="s">
        <v>158</v>
      </c>
      <c r="D177" s="228" t="s">
        <v>152</v>
      </c>
      <c r="E177" s="214" t="s">
        <v>525</v>
      </c>
      <c r="F177" s="234">
        <v>3</v>
      </c>
      <c r="G177" s="110">
        <v>1</v>
      </c>
      <c r="H177" s="106" t="s">
        <v>526</v>
      </c>
      <c r="I177" s="150" t="s">
        <v>527</v>
      </c>
      <c r="J177" s="237">
        <v>3</v>
      </c>
      <c r="K177" s="290" t="str">
        <f t="shared" si="20"/>
        <v>Mantenimiento del control</v>
      </c>
      <c r="L177" s="268">
        <f t="shared" si="21"/>
        <v>60</v>
      </c>
      <c r="M177" s="268">
        <v>1.8962300000000001</v>
      </c>
      <c r="N177" s="210">
        <f t="shared" si="22"/>
        <v>61.896230000000003</v>
      </c>
      <c r="O177" s="221"/>
    </row>
    <row r="178" spans="2:15" ht="21" customHeight="1" x14ac:dyDescent="0.3">
      <c r="B178" s="250"/>
      <c r="C178" s="307"/>
      <c r="D178" s="229"/>
      <c r="E178" s="215"/>
      <c r="F178" s="235"/>
      <c r="G178" s="105">
        <v>2</v>
      </c>
      <c r="H178" s="140"/>
      <c r="I178" s="138"/>
      <c r="J178" s="238"/>
      <c r="K178" s="267"/>
      <c r="L178" s="268"/>
      <c r="M178" s="268"/>
      <c r="N178" s="210"/>
      <c r="O178" s="221"/>
    </row>
    <row r="179" spans="2:15" ht="21" customHeight="1" x14ac:dyDescent="0.3">
      <c r="B179" s="250"/>
      <c r="C179" s="307"/>
      <c r="D179" s="229"/>
      <c r="E179" s="215"/>
      <c r="F179" s="235"/>
      <c r="G179" s="105">
        <v>3</v>
      </c>
      <c r="H179" s="140"/>
      <c r="I179" s="138"/>
      <c r="J179" s="238"/>
      <c r="K179" s="267"/>
      <c r="L179" s="268"/>
      <c r="M179" s="268"/>
      <c r="N179" s="210"/>
      <c r="O179" s="221"/>
    </row>
    <row r="180" spans="2:15" ht="21" customHeight="1" x14ac:dyDescent="0.3">
      <c r="B180" s="250"/>
      <c r="C180" s="307"/>
      <c r="D180" s="229"/>
      <c r="E180" s="215"/>
      <c r="F180" s="235"/>
      <c r="G180" s="105">
        <v>4</v>
      </c>
      <c r="H180" s="140"/>
      <c r="I180" s="138"/>
      <c r="J180" s="238"/>
      <c r="K180" s="267"/>
      <c r="L180" s="268"/>
      <c r="M180" s="268"/>
      <c r="N180" s="210"/>
      <c r="O180" s="221"/>
    </row>
    <row r="181" spans="2:15" ht="21" customHeight="1" x14ac:dyDescent="0.3">
      <c r="B181" s="250"/>
      <c r="C181" s="307"/>
      <c r="D181" s="229"/>
      <c r="E181" s="215"/>
      <c r="F181" s="235"/>
      <c r="G181" s="105">
        <v>5</v>
      </c>
      <c r="H181" s="140"/>
      <c r="I181" s="138"/>
      <c r="J181" s="238"/>
      <c r="K181" s="267"/>
      <c r="L181" s="268"/>
      <c r="M181" s="268"/>
      <c r="N181" s="210"/>
      <c r="O181" s="221"/>
    </row>
    <row r="182" spans="2:15" ht="21" customHeight="1" x14ac:dyDescent="0.3">
      <c r="B182" s="250"/>
      <c r="C182" s="307"/>
      <c r="D182" s="229"/>
      <c r="E182" s="215"/>
      <c r="F182" s="235"/>
      <c r="G182" s="105">
        <v>6</v>
      </c>
      <c r="H182" s="140"/>
      <c r="I182" s="138"/>
      <c r="J182" s="238"/>
      <c r="K182" s="267"/>
      <c r="L182" s="268"/>
      <c r="M182" s="268"/>
      <c r="N182" s="210"/>
      <c r="O182" s="221"/>
    </row>
    <row r="183" spans="2:15" ht="21" customHeight="1" x14ac:dyDescent="0.3">
      <c r="B183" s="250"/>
      <c r="C183" s="307"/>
      <c r="D183" s="229"/>
      <c r="E183" s="215"/>
      <c r="F183" s="235"/>
      <c r="G183" s="105">
        <v>7</v>
      </c>
      <c r="H183" s="140"/>
      <c r="I183" s="138"/>
      <c r="J183" s="238"/>
      <c r="K183" s="267"/>
      <c r="L183" s="268"/>
      <c r="M183" s="268"/>
      <c r="N183" s="210"/>
      <c r="O183" s="221"/>
    </row>
    <row r="184" spans="2:15" ht="21" customHeight="1" thickBot="1" x14ac:dyDescent="0.35">
      <c r="B184" s="251"/>
      <c r="C184" s="308"/>
      <c r="D184" s="230"/>
      <c r="E184" s="216"/>
      <c r="F184" s="236"/>
      <c r="G184" s="109">
        <v>8</v>
      </c>
      <c r="H184" s="141"/>
      <c r="I184" s="139"/>
      <c r="J184" s="239"/>
      <c r="K184" s="267"/>
      <c r="L184" s="268"/>
      <c r="M184" s="268"/>
      <c r="N184" s="210"/>
      <c r="O184" s="221"/>
    </row>
    <row r="185" spans="2:15" ht="34.5" customHeight="1" x14ac:dyDescent="0.3">
      <c r="B185" s="271"/>
      <c r="C185" s="258" t="s">
        <v>159</v>
      </c>
      <c r="D185" s="260" t="s">
        <v>8</v>
      </c>
      <c r="E185" s="309" t="s">
        <v>113</v>
      </c>
      <c r="F185" s="263" t="s">
        <v>114</v>
      </c>
      <c r="G185" s="301" t="s">
        <v>115</v>
      </c>
      <c r="H185" s="302"/>
      <c r="I185" s="303"/>
      <c r="J185" s="263" t="s">
        <v>116</v>
      </c>
      <c r="K185" s="287" t="s">
        <v>135</v>
      </c>
      <c r="L185" s="269"/>
      <c r="M185" s="269"/>
      <c r="N185" s="219"/>
      <c r="O185" s="222"/>
    </row>
    <row r="186" spans="2:15" ht="57" customHeight="1" x14ac:dyDescent="0.3">
      <c r="B186" s="272"/>
      <c r="C186" s="259"/>
      <c r="D186" s="261"/>
      <c r="E186" s="310"/>
      <c r="F186" s="263"/>
      <c r="G186" s="265" t="s">
        <v>13</v>
      </c>
      <c r="H186" s="311" t="s">
        <v>15</v>
      </c>
      <c r="I186" s="304" t="s">
        <v>136</v>
      </c>
      <c r="J186" s="263"/>
      <c r="K186" s="287"/>
      <c r="L186" s="269"/>
      <c r="M186" s="269"/>
      <c r="N186" s="219"/>
      <c r="O186" s="222"/>
    </row>
    <row r="187" spans="2:15" ht="24" customHeight="1" thickBot="1" x14ac:dyDescent="0.35">
      <c r="B187" s="272"/>
      <c r="C187" s="259"/>
      <c r="D187" s="262"/>
      <c r="E187" s="305"/>
      <c r="F187" s="264"/>
      <c r="G187" s="266"/>
      <c r="H187" s="304"/>
      <c r="I187" s="305"/>
      <c r="J187" s="264"/>
      <c r="K187" s="288"/>
      <c r="L187" s="269"/>
      <c r="M187" s="269"/>
      <c r="N187" s="219"/>
      <c r="O187" s="222"/>
    </row>
    <row r="188" spans="2:15" ht="49.5" x14ac:dyDescent="0.3">
      <c r="B188" s="249" t="str">
        <f>+LEFT(C188,3)</f>
        <v>5.1</v>
      </c>
      <c r="C188" s="249" t="s">
        <v>160</v>
      </c>
      <c r="D188" s="228" t="s">
        <v>161</v>
      </c>
      <c r="E188" s="214" t="s">
        <v>528</v>
      </c>
      <c r="F188" s="234">
        <v>3</v>
      </c>
      <c r="G188" s="110">
        <v>1</v>
      </c>
      <c r="H188" s="106" t="s">
        <v>461</v>
      </c>
      <c r="I188" s="150" t="s">
        <v>530</v>
      </c>
      <c r="J188" s="237">
        <v>3</v>
      </c>
      <c r="K188" s="267" t="str">
        <f t="shared" ref="K188:K228" si="23">+IF(OR(ISBLANK(F188),ISBLANK(J188)),"",IF(OR(AND(F188=1,J188=1),AND(F188=1,J188=2),AND(F188=1,J188=3)),"Deficiencia de control mayor (diseño y ejecución)",IF(OR(AND(F188=2,J188=2),AND(F188=3,J188=1),AND(F188=3,J188=2),AND(F188=2,J188=1)),"Deficiencia de control (diseño o ejecución)",IF(AND(F188=2,J188=3),"Oportunidad de mejora","Mantenimiento del control"))))</f>
        <v>Mantenimiento del control</v>
      </c>
      <c r="L188" s="268">
        <f t="shared" ref="L188:L228" si="24">+IF(K188="",0,IF(K188="Deficiencia de control mayor (diseño y ejecución)",4,IF(K188="Deficiencia de control (diseño o ejecución)",20,IF(K188="Oportunidad de mejora",40,60))))</f>
        <v>60</v>
      </c>
      <c r="M188" s="268">
        <v>1.1896</v>
      </c>
      <c r="N188" s="210">
        <f t="shared" ref="N188:N228" si="25">+L188+M188</f>
        <v>61.189599999999999</v>
      </c>
      <c r="O188" s="221"/>
    </row>
    <row r="189" spans="2:15" ht="49.5" x14ac:dyDescent="0.3">
      <c r="B189" s="250"/>
      <c r="C189" s="250"/>
      <c r="D189" s="229"/>
      <c r="E189" s="215"/>
      <c r="F189" s="235"/>
      <c r="G189" s="105">
        <v>2</v>
      </c>
      <c r="H189" s="149" t="s">
        <v>529</v>
      </c>
      <c r="I189" s="138"/>
      <c r="J189" s="238"/>
      <c r="K189" s="267"/>
      <c r="L189" s="268"/>
      <c r="M189" s="268"/>
      <c r="N189" s="210"/>
      <c r="O189" s="221"/>
    </row>
    <row r="190" spans="2:15" ht="16.5" x14ac:dyDescent="0.3">
      <c r="B190" s="250"/>
      <c r="C190" s="250"/>
      <c r="D190" s="229"/>
      <c r="E190" s="215"/>
      <c r="F190" s="235"/>
      <c r="G190" s="105">
        <v>3</v>
      </c>
      <c r="H190" s="140"/>
      <c r="I190" s="138"/>
      <c r="J190" s="238"/>
      <c r="K190" s="267"/>
      <c r="L190" s="268"/>
      <c r="M190" s="268"/>
      <c r="N190" s="210"/>
      <c r="O190" s="221"/>
    </row>
    <row r="191" spans="2:15" ht="16.5" x14ac:dyDescent="0.3">
      <c r="B191" s="250"/>
      <c r="C191" s="250"/>
      <c r="D191" s="229"/>
      <c r="E191" s="215"/>
      <c r="F191" s="235"/>
      <c r="G191" s="105">
        <v>4</v>
      </c>
      <c r="H191" s="140"/>
      <c r="I191" s="138"/>
      <c r="J191" s="238"/>
      <c r="K191" s="267"/>
      <c r="L191" s="268"/>
      <c r="M191" s="268"/>
      <c r="N191" s="210"/>
      <c r="O191" s="221"/>
    </row>
    <row r="192" spans="2:15" ht="16.5" x14ac:dyDescent="0.3">
      <c r="B192" s="250"/>
      <c r="C192" s="250"/>
      <c r="D192" s="229"/>
      <c r="E192" s="215"/>
      <c r="F192" s="235"/>
      <c r="G192" s="105">
        <v>5</v>
      </c>
      <c r="H192" s="140"/>
      <c r="I192" s="138"/>
      <c r="J192" s="238"/>
      <c r="K192" s="267"/>
      <c r="L192" s="268"/>
      <c r="M192" s="268"/>
      <c r="N192" s="210"/>
      <c r="O192" s="221"/>
    </row>
    <row r="193" spans="2:15" ht="16.5" x14ac:dyDescent="0.3">
      <c r="B193" s="250"/>
      <c r="C193" s="250"/>
      <c r="D193" s="229"/>
      <c r="E193" s="215"/>
      <c r="F193" s="235"/>
      <c r="G193" s="105">
        <v>6</v>
      </c>
      <c r="H193" s="140"/>
      <c r="I193" s="138"/>
      <c r="J193" s="238"/>
      <c r="K193" s="267"/>
      <c r="L193" s="268"/>
      <c r="M193" s="268"/>
      <c r="N193" s="210"/>
      <c r="O193" s="221"/>
    </row>
    <row r="194" spans="2:15" ht="16.5" x14ac:dyDescent="0.3">
      <c r="B194" s="250"/>
      <c r="C194" s="250"/>
      <c r="D194" s="229"/>
      <c r="E194" s="215"/>
      <c r="F194" s="235"/>
      <c r="G194" s="105">
        <v>7</v>
      </c>
      <c r="H194" s="140"/>
      <c r="I194" s="138"/>
      <c r="J194" s="238"/>
      <c r="K194" s="267"/>
      <c r="L194" s="268"/>
      <c r="M194" s="268"/>
      <c r="N194" s="210"/>
      <c r="O194" s="221"/>
    </row>
    <row r="195" spans="2:15" ht="17.25" thickBot="1" x14ac:dyDescent="0.35">
      <c r="B195" s="251"/>
      <c r="C195" s="251"/>
      <c r="D195" s="230"/>
      <c r="E195" s="216"/>
      <c r="F195" s="236"/>
      <c r="G195" s="109">
        <v>8</v>
      </c>
      <c r="H195" s="141"/>
      <c r="I195" s="139"/>
      <c r="J195" s="239"/>
      <c r="K195" s="267"/>
      <c r="L195" s="268"/>
      <c r="M195" s="268"/>
      <c r="N195" s="210"/>
      <c r="O195" s="221"/>
    </row>
    <row r="196" spans="2:15" ht="69" customHeight="1" x14ac:dyDescent="0.3">
      <c r="B196" s="249" t="str">
        <f>+LEFT(C196,3)</f>
        <v>5.2</v>
      </c>
      <c r="C196" s="249" t="s">
        <v>162</v>
      </c>
      <c r="D196" s="228" t="s">
        <v>163</v>
      </c>
      <c r="E196" s="211" t="s">
        <v>531</v>
      </c>
      <c r="F196" s="237">
        <v>3</v>
      </c>
      <c r="G196" s="110">
        <v>1</v>
      </c>
      <c r="H196" s="106" t="s">
        <v>532</v>
      </c>
      <c r="I196" s="137" t="s">
        <v>445</v>
      </c>
      <c r="J196" s="237">
        <v>3</v>
      </c>
      <c r="K196" s="267" t="str">
        <f t="shared" si="23"/>
        <v>Mantenimiento del control</v>
      </c>
      <c r="L196" s="268">
        <f t="shared" si="24"/>
        <v>60</v>
      </c>
      <c r="M196" s="268">
        <v>1.28965</v>
      </c>
      <c r="N196" s="210">
        <f t="shared" si="25"/>
        <v>61.289650000000002</v>
      </c>
      <c r="O196" s="221"/>
    </row>
    <row r="197" spans="2:15" ht="16.5" x14ac:dyDescent="0.3">
      <c r="B197" s="250"/>
      <c r="C197" s="250"/>
      <c r="D197" s="229"/>
      <c r="E197" s="212"/>
      <c r="F197" s="238"/>
      <c r="G197" s="105">
        <v>2</v>
      </c>
      <c r="H197" s="140"/>
      <c r="I197" s="138" t="s">
        <v>533</v>
      </c>
      <c r="J197" s="238"/>
      <c r="K197" s="267"/>
      <c r="L197" s="268"/>
      <c r="M197" s="268"/>
      <c r="N197" s="210"/>
      <c r="O197" s="221"/>
    </row>
    <row r="198" spans="2:15" ht="16.5" x14ac:dyDescent="0.3">
      <c r="B198" s="250"/>
      <c r="C198" s="250"/>
      <c r="D198" s="229"/>
      <c r="E198" s="212"/>
      <c r="F198" s="238"/>
      <c r="G198" s="105">
        <v>3</v>
      </c>
      <c r="H198" s="140"/>
      <c r="I198" s="138"/>
      <c r="J198" s="238"/>
      <c r="K198" s="267"/>
      <c r="L198" s="268"/>
      <c r="M198" s="268"/>
      <c r="N198" s="210"/>
      <c r="O198" s="221"/>
    </row>
    <row r="199" spans="2:15" ht="16.5" x14ac:dyDescent="0.3">
      <c r="B199" s="250"/>
      <c r="C199" s="250"/>
      <c r="D199" s="229"/>
      <c r="E199" s="212"/>
      <c r="F199" s="238"/>
      <c r="G199" s="105">
        <v>4</v>
      </c>
      <c r="H199" s="140"/>
      <c r="I199" s="138" t="s">
        <v>534</v>
      </c>
      <c r="J199" s="238"/>
      <c r="K199" s="267"/>
      <c r="L199" s="268"/>
      <c r="M199" s="268"/>
      <c r="N199" s="210"/>
      <c r="O199" s="221"/>
    </row>
    <row r="200" spans="2:15" ht="16.5" x14ac:dyDescent="0.3">
      <c r="B200" s="250"/>
      <c r="C200" s="250"/>
      <c r="D200" s="229"/>
      <c r="E200" s="212"/>
      <c r="F200" s="238"/>
      <c r="G200" s="105">
        <v>5</v>
      </c>
      <c r="H200" s="140"/>
      <c r="I200" s="138"/>
      <c r="J200" s="238"/>
      <c r="K200" s="267"/>
      <c r="L200" s="268"/>
      <c r="M200" s="268"/>
      <c r="N200" s="210"/>
      <c r="O200" s="221"/>
    </row>
    <row r="201" spans="2:15" ht="16.5" x14ac:dyDescent="0.3">
      <c r="B201" s="250"/>
      <c r="C201" s="250"/>
      <c r="D201" s="229"/>
      <c r="E201" s="212"/>
      <c r="F201" s="238"/>
      <c r="G201" s="105">
        <v>6</v>
      </c>
      <c r="H201" s="140"/>
      <c r="I201" s="138"/>
      <c r="J201" s="238"/>
      <c r="K201" s="267"/>
      <c r="L201" s="268"/>
      <c r="M201" s="268"/>
      <c r="N201" s="210"/>
      <c r="O201" s="221"/>
    </row>
    <row r="202" spans="2:15" ht="16.5" x14ac:dyDescent="0.3">
      <c r="B202" s="250"/>
      <c r="C202" s="250"/>
      <c r="D202" s="229"/>
      <c r="E202" s="212"/>
      <c r="F202" s="238"/>
      <c r="G202" s="105">
        <v>7</v>
      </c>
      <c r="H202" s="140"/>
      <c r="I202" s="138"/>
      <c r="J202" s="238"/>
      <c r="K202" s="267"/>
      <c r="L202" s="268"/>
      <c r="M202" s="268"/>
      <c r="N202" s="210"/>
      <c r="O202" s="221"/>
    </row>
    <row r="203" spans="2:15" ht="17.25" thickBot="1" x14ac:dyDescent="0.35">
      <c r="B203" s="251"/>
      <c r="C203" s="251"/>
      <c r="D203" s="230"/>
      <c r="E203" s="213"/>
      <c r="F203" s="239"/>
      <c r="G203" s="109">
        <v>8</v>
      </c>
      <c r="H203" s="141"/>
      <c r="I203" s="139"/>
      <c r="J203" s="239"/>
      <c r="K203" s="267"/>
      <c r="L203" s="268"/>
      <c r="M203" s="268"/>
      <c r="N203" s="210"/>
      <c r="O203" s="221"/>
    </row>
    <row r="204" spans="2:15" ht="50.25" customHeight="1" x14ac:dyDescent="0.3">
      <c r="B204" s="249" t="str">
        <f>+LEFT(C204,3)</f>
        <v>5.3</v>
      </c>
      <c r="C204" s="249" t="s">
        <v>164</v>
      </c>
      <c r="D204" s="228" t="s">
        <v>165</v>
      </c>
      <c r="E204" s="211" t="s">
        <v>535</v>
      </c>
      <c r="F204" s="237">
        <v>3</v>
      </c>
      <c r="G204" s="110">
        <v>1</v>
      </c>
      <c r="H204" s="148" t="s">
        <v>536</v>
      </c>
      <c r="I204" s="150" t="s">
        <v>446</v>
      </c>
      <c r="J204" s="237">
        <v>3</v>
      </c>
      <c r="K204" s="267" t="str">
        <f t="shared" si="23"/>
        <v>Mantenimiento del control</v>
      </c>
      <c r="L204" s="268">
        <f t="shared" si="24"/>
        <v>60</v>
      </c>
      <c r="M204" s="268">
        <v>1.3896299999999999</v>
      </c>
      <c r="N204" s="210">
        <f t="shared" si="25"/>
        <v>61.389629999999997</v>
      </c>
      <c r="O204" s="221"/>
    </row>
    <row r="205" spans="2:15" ht="49.5" x14ac:dyDescent="0.3">
      <c r="B205" s="250"/>
      <c r="C205" s="250"/>
      <c r="D205" s="229"/>
      <c r="E205" s="212"/>
      <c r="F205" s="238"/>
      <c r="G205" s="105">
        <v>2</v>
      </c>
      <c r="H205" s="140"/>
      <c r="I205" s="153" t="s">
        <v>537</v>
      </c>
      <c r="J205" s="238"/>
      <c r="K205" s="267"/>
      <c r="L205" s="268"/>
      <c r="M205" s="268"/>
      <c r="N205" s="210"/>
      <c r="O205" s="221"/>
    </row>
    <row r="206" spans="2:15" ht="16.5" x14ac:dyDescent="0.3">
      <c r="B206" s="250"/>
      <c r="C206" s="250"/>
      <c r="D206" s="229"/>
      <c r="E206" s="212"/>
      <c r="F206" s="238"/>
      <c r="G206" s="105">
        <v>3</v>
      </c>
      <c r="H206" s="140"/>
      <c r="I206" s="138"/>
      <c r="J206" s="238"/>
      <c r="K206" s="267"/>
      <c r="L206" s="268"/>
      <c r="M206" s="268"/>
      <c r="N206" s="210"/>
      <c r="O206" s="221"/>
    </row>
    <row r="207" spans="2:15" ht="16.5" x14ac:dyDescent="0.3">
      <c r="B207" s="250"/>
      <c r="C207" s="250"/>
      <c r="D207" s="229"/>
      <c r="E207" s="212"/>
      <c r="F207" s="238"/>
      <c r="G207" s="105">
        <v>4</v>
      </c>
      <c r="H207" s="140"/>
      <c r="I207" s="138"/>
      <c r="J207" s="238"/>
      <c r="K207" s="267"/>
      <c r="L207" s="268"/>
      <c r="M207" s="268"/>
      <c r="N207" s="210"/>
      <c r="O207" s="221"/>
    </row>
    <row r="208" spans="2:15" ht="16.5" x14ac:dyDescent="0.3">
      <c r="B208" s="250"/>
      <c r="C208" s="250"/>
      <c r="D208" s="229"/>
      <c r="E208" s="212"/>
      <c r="F208" s="238"/>
      <c r="G208" s="105">
        <v>5</v>
      </c>
      <c r="H208" s="140"/>
      <c r="I208" s="138"/>
      <c r="J208" s="238"/>
      <c r="K208" s="267"/>
      <c r="L208" s="268"/>
      <c r="M208" s="268"/>
      <c r="N208" s="210"/>
      <c r="O208" s="221"/>
    </row>
    <row r="209" spans="2:15" ht="16.5" x14ac:dyDescent="0.3">
      <c r="B209" s="250"/>
      <c r="C209" s="250"/>
      <c r="D209" s="229"/>
      <c r="E209" s="212"/>
      <c r="F209" s="238"/>
      <c r="G209" s="105">
        <v>6</v>
      </c>
      <c r="H209" s="140"/>
      <c r="I209" s="138"/>
      <c r="J209" s="238"/>
      <c r="K209" s="267"/>
      <c r="L209" s="268"/>
      <c r="M209" s="268"/>
      <c r="N209" s="210"/>
      <c r="O209" s="221"/>
    </row>
    <row r="210" spans="2:15" ht="16.5" x14ac:dyDescent="0.3">
      <c r="B210" s="250"/>
      <c r="C210" s="250"/>
      <c r="D210" s="229"/>
      <c r="E210" s="212"/>
      <c r="F210" s="238"/>
      <c r="G210" s="105">
        <v>7</v>
      </c>
      <c r="H210" s="140"/>
      <c r="I210" s="138"/>
      <c r="J210" s="238"/>
      <c r="K210" s="267"/>
      <c r="L210" s="268"/>
      <c r="M210" s="268"/>
      <c r="N210" s="210"/>
      <c r="O210" s="221"/>
    </row>
    <row r="211" spans="2:15" ht="17.25" thickBot="1" x14ac:dyDescent="0.35">
      <c r="B211" s="251"/>
      <c r="C211" s="251"/>
      <c r="D211" s="230"/>
      <c r="E211" s="213"/>
      <c r="F211" s="239"/>
      <c r="G211" s="109">
        <v>8</v>
      </c>
      <c r="H211" s="141"/>
      <c r="I211" s="139"/>
      <c r="J211" s="239"/>
      <c r="K211" s="267"/>
      <c r="L211" s="268"/>
      <c r="M211" s="268"/>
      <c r="N211" s="210"/>
      <c r="O211" s="221"/>
    </row>
    <row r="212" spans="2:15" ht="62.25" customHeight="1" x14ac:dyDescent="0.3">
      <c r="B212" s="249" t="str">
        <f>+LEFT(C212,3)</f>
        <v>5.4</v>
      </c>
      <c r="C212" s="249" t="s">
        <v>166</v>
      </c>
      <c r="D212" s="228" t="s">
        <v>167</v>
      </c>
      <c r="E212" s="214" t="s">
        <v>538</v>
      </c>
      <c r="F212" s="234">
        <v>3</v>
      </c>
      <c r="G212" s="110">
        <v>1</v>
      </c>
      <c r="H212" s="106" t="s">
        <v>539</v>
      </c>
      <c r="I212" s="150" t="s">
        <v>541</v>
      </c>
      <c r="J212" s="237">
        <v>3</v>
      </c>
      <c r="K212" s="267" t="str">
        <f t="shared" si="23"/>
        <v>Mantenimiento del control</v>
      </c>
      <c r="L212" s="268">
        <f t="shared" si="24"/>
        <v>60</v>
      </c>
      <c r="M212" s="268">
        <v>1.48963</v>
      </c>
      <c r="N212" s="210">
        <f t="shared" si="25"/>
        <v>61.489629999999998</v>
      </c>
      <c r="O212" s="221"/>
    </row>
    <row r="213" spans="2:15" ht="45.95" customHeight="1" x14ac:dyDescent="0.3">
      <c r="B213" s="250"/>
      <c r="C213" s="250"/>
      <c r="D213" s="229"/>
      <c r="E213" s="215"/>
      <c r="F213" s="235"/>
      <c r="G213" s="105">
        <v>2</v>
      </c>
      <c r="H213" s="149" t="s">
        <v>540</v>
      </c>
      <c r="I213" s="138"/>
      <c r="J213" s="238"/>
      <c r="K213" s="267"/>
      <c r="L213" s="268"/>
      <c r="M213" s="268"/>
      <c r="N213" s="210"/>
      <c r="O213" s="221"/>
    </row>
    <row r="214" spans="2:15" ht="20.25" customHeight="1" x14ac:dyDescent="0.3">
      <c r="B214" s="250"/>
      <c r="C214" s="250"/>
      <c r="D214" s="229"/>
      <c r="E214" s="215"/>
      <c r="F214" s="235"/>
      <c r="G214" s="105">
        <v>3</v>
      </c>
      <c r="H214" s="140"/>
      <c r="I214" s="138"/>
      <c r="J214" s="238"/>
      <c r="K214" s="267"/>
      <c r="L214" s="268"/>
      <c r="M214" s="268"/>
      <c r="N214" s="210"/>
      <c r="O214" s="221"/>
    </row>
    <row r="215" spans="2:15" ht="20.25" customHeight="1" x14ac:dyDescent="0.3">
      <c r="B215" s="250"/>
      <c r="C215" s="250"/>
      <c r="D215" s="229"/>
      <c r="E215" s="215"/>
      <c r="F215" s="235"/>
      <c r="G215" s="105">
        <v>4</v>
      </c>
      <c r="H215" s="140"/>
      <c r="I215" s="138"/>
      <c r="J215" s="238"/>
      <c r="K215" s="267"/>
      <c r="L215" s="268"/>
      <c r="M215" s="268"/>
      <c r="N215" s="210"/>
      <c r="O215" s="221"/>
    </row>
    <row r="216" spans="2:15" ht="20.25" customHeight="1" x14ac:dyDescent="0.3">
      <c r="B216" s="250"/>
      <c r="C216" s="250"/>
      <c r="D216" s="229"/>
      <c r="E216" s="215"/>
      <c r="F216" s="235"/>
      <c r="G216" s="105">
        <v>5</v>
      </c>
      <c r="H216" s="140"/>
      <c r="I216" s="138"/>
      <c r="J216" s="238"/>
      <c r="K216" s="267"/>
      <c r="L216" s="268"/>
      <c r="M216" s="268"/>
      <c r="N216" s="210"/>
      <c r="O216" s="221"/>
    </row>
    <row r="217" spans="2:15" ht="20.25" customHeight="1" x14ac:dyDescent="0.3">
      <c r="B217" s="250"/>
      <c r="C217" s="250"/>
      <c r="D217" s="229"/>
      <c r="E217" s="215"/>
      <c r="F217" s="235"/>
      <c r="G217" s="105">
        <v>6</v>
      </c>
      <c r="H217" s="140"/>
      <c r="I217" s="138"/>
      <c r="J217" s="238"/>
      <c r="K217" s="267"/>
      <c r="L217" s="268"/>
      <c r="M217" s="268"/>
      <c r="N217" s="210"/>
      <c r="O217" s="221"/>
    </row>
    <row r="218" spans="2:15" ht="20.25" customHeight="1" x14ac:dyDescent="0.3">
      <c r="B218" s="250"/>
      <c r="C218" s="250"/>
      <c r="D218" s="229"/>
      <c r="E218" s="215"/>
      <c r="F218" s="235"/>
      <c r="G218" s="105">
        <v>7</v>
      </c>
      <c r="H218" s="140"/>
      <c r="I218" s="138"/>
      <c r="J218" s="238"/>
      <c r="K218" s="267"/>
      <c r="L218" s="268"/>
      <c r="M218" s="268"/>
      <c r="N218" s="210"/>
      <c r="O218" s="221"/>
    </row>
    <row r="219" spans="2:15" ht="20.25" customHeight="1" thickBot="1" x14ac:dyDescent="0.35">
      <c r="B219" s="251"/>
      <c r="C219" s="251"/>
      <c r="D219" s="230"/>
      <c r="E219" s="216"/>
      <c r="F219" s="236"/>
      <c r="G219" s="109">
        <v>8</v>
      </c>
      <c r="H219" s="141"/>
      <c r="I219" s="139"/>
      <c r="J219" s="239"/>
      <c r="K219" s="267"/>
      <c r="L219" s="268"/>
      <c r="M219" s="268"/>
      <c r="N219" s="210"/>
      <c r="O219" s="221"/>
    </row>
    <row r="220" spans="2:15" ht="72.75" customHeight="1" x14ac:dyDescent="0.3">
      <c r="B220" s="249" t="str">
        <f>+LEFT(C220,3)</f>
        <v>5.5</v>
      </c>
      <c r="C220" s="249" t="s">
        <v>168</v>
      </c>
      <c r="D220" s="228" t="s">
        <v>169</v>
      </c>
      <c r="E220" s="211" t="s">
        <v>542</v>
      </c>
      <c r="F220" s="237">
        <v>3</v>
      </c>
      <c r="G220" s="110">
        <v>1</v>
      </c>
      <c r="H220" s="106" t="s">
        <v>546</v>
      </c>
      <c r="I220" s="170" t="s">
        <v>544</v>
      </c>
      <c r="J220" s="237">
        <v>3</v>
      </c>
      <c r="K220" s="267" t="str">
        <f t="shared" si="23"/>
        <v>Mantenimiento del control</v>
      </c>
      <c r="L220" s="268">
        <f t="shared" si="24"/>
        <v>60</v>
      </c>
      <c r="M220" s="268">
        <v>1.58965</v>
      </c>
      <c r="N220" s="210">
        <f t="shared" si="25"/>
        <v>61.589649999999999</v>
      </c>
      <c r="O220" s="221"/>
    </row>
    <row r="221" spans="2:15" ht="39.950000000000003" customHeight="1" x14ac:dyDescent="0.3">
      <c r="B221" s="250"/>
      <c r="C221" s="250"/>
      <c r="D221" s="229"/>
      <c r="E221" s="212"/>
      <c r="F221" s="238"/>
      <c r="G221" s="105">
        <v>2</v>
      </c>
      <c r="H221" s="149" t="s">
        <v>543</v>
      </c>
      <c r="I221" s="174"/>
      <c r="J221" s="238"/>
      <c r="K221" s="267"/>
      <c r="L221" s="268"/>
      <c r="M221" s="268"/>
      <c r="N221" s="210"/>
      <c r="O221" s="221"/>
    </row>
    <row r="222" spans="2:15" ht="20.25" customHeight="1" x14ac:dyDescent="0.3">
      <c r="B222" s="250"/>
      <c r="C222" s="250"/>
      <c r="D222" s="229"/>
      <c r="E222" s="212"/>
      <c r="F222" s="238"/>
      <c r="G222" s="105">
        <v>3</v>
      </c>
      <c r="H222" s="140"/>
      <c r="I222" s="174"/>
      <c r="J222" s="238"/>
      <c r="K222" s="267"/>
      <c r="L222" s="268"/>
      <c r="M222" s="268"/>
      <c r="N222" s="210"/>
      <c r="O222" s="221"/>
    </row>
    <row r="223" spans="2:15" ht="20.25" customHeight="1" x14ac:dyDescent="0.3">
      <c r="B223" s="250"/>
      <c r="C223" s="250"/>
      <c r="D223" s="229"/>
      <c r="E223" s="212"/>
      <c r="F223" s="238"/>
      <c r="G223" s="105">
        <v>4</v>
      </c>
      <c r="H223" s="140"/>
      <c r="I223" s="174"/>
      <c r="J223" s="238"/>
      <c r="K223" s="267"/>
      <c r="L223" s="268"/>
      <c r="M223" s="268"/>
      <c r="N223" s="210"/>
      <c r="O223" s="221"/>
    </row>
    <row r="224" spans="2:15" ht="20.25" customHeight="1" x14ac:dyDescent="0.3">
      <c r="B224" s="250"/>
      <c r="C224" s="250"/>
      <c r="D224" s="229"/>
      <c r="E224" s="212"/>
      <c r="F224" s="238"/>
      <c r="G224" s="105">
        <v>5</v>
      </c>
      <c r="H224" s="140"/>
      <c r="I224" s="174"/>
      <c r="J224" s="238"/>
      <c r="K224" s="267"/>
      <c r="L224" s="268"/>
      <c r="M224" s="268"/>
      <c r="N224" s="210"/>
      <c r="O224" s="221"/>
    </row>
    <row r="225" spans="2:15" ht="20.25" customHeight="1" x14ac:dyDescent="0.3">
      <c r="B225" s="250"/>
      <c r="C225" s="250"/>
      <c r="D225" s="229"/>
      <c r="E225" s="212"/>
      <c r="F225" s="238"/>
      <c r="G225" s="105">
        <v>6</v>
      </c>
      <c r="H225" s="140"/>
      <c r="I225" s="174"/>
      <c r="J225" s="238"/>
      <c r="K225" s="267"/>
      <c r="L225" s="268"/>
      <c r="M225" s="268"/>
      <c r="N225" s="210"/>
      <c r="O225" s="221"/>
    </row>
    <row r="226" spans="2:15" ht="20.25" customHeight="1" x14ac:dyDescent="0.3">
      <c r="B226" s="250"/>
      <c r="C226" s="250"/>
      <c r="D226" s="229"/>
      <c r="E226" s="212"/>
      <c r="F226" s="238"/>
      <c r="G226" s="105">
        <v>7</v>
      </c>
      <c r="H226" s="140"/>
      <c r="I226" s="174"/>
      <c r="J226" s="238"/>
      <c r="K226" s="267"/>
      <c r="L226" s="268"/>
      <c r="M226" s="268"/>
      <c r="N226" s="210"/>
      <c r="O226" s="221"/>
    </row>
    <row r="227" spans="2:15" ht="20.25" customHeight="1" thickBot="1" x14ac:dyDescent="0.35">
      <c r="B227" s="251"/>
      <c r="C227" s="251"/>
      <c r="D227" s="230"/>
      <c r="E227" s="213"/>
      <c r="F227" s="239"/>
      <c r="G227" s="109">
        <v>8</v>
      </c>
      <c r="H227" s="141"/>
      <c r="I227" s="175"/>
      <c r="J227" s="239"/>
      <c r="K227" s="267"/>
      <c r="L227" s="268"/>
      <c r="M227" s="268"/>
      <c r="N227" s="210"/>
      <c r="O227" s="221"/>
    </row>
    <row r="228" spans="2:15" ht="58.5" customHeight="1" x14ac:dyDescent="0.3">
      <c r="B228" s="249" t="str">
        <f>+LEFT(C228,3)</f>
        <v>5.6</v>
      </c>
      <c r="C228" s="249" t="s">
        <v>170</v>
      </c>
      <c r="D228" s="228" t="s">
        <v>169</v>
      </c>
      <c r="E228" s="214" t="s">
        <v>462</v>
      </c>
      <c r="F228" s="234">
        <v>3</v>
      </c>
      <c r="G228" s="110">
        <v>1</v>
      </c>
      <c r="H228" s="106" t="s">
        <v>461</v>
      </c>
      <c r="I228" s="170" t="s">
        <v>545</v>
      </c>
      <c r="J228" s="237">
        <v>3</v>
      </c>
      <c r="K228" s="267" t="str">
        <f t="shared" si="23"/>
        <v>Mantenimiento del control</v>
      </c>
      <c r="L228" s="268">
        <f t="shared" si="24"/>
        <v>60</v>
      </c>
      <c r="M228" s="268">
        <v>1.6896530000000001</v>
      </c>
      <c r="N228" s="210">
        <f t="shared" si="25"/>
        <v>61.689653</v>
      </c>
      <c r="O228" s="221"/>
    </row>
    <row r="229" spans="2:15" ht="20.100000000000001" customHeight="1" x14ac:dyDescent="0.3">
      <c r="B229" s="250"/>
      <c r="C229" s="250"/>
      <c r="D229" s="229"/>
      <c r="E229" s="215"/>
      <c r="F229" s="235"/>
      <c r="G229" s="105">
        <v>2</v>
      </c>
      <c r="H229" s="140"/>
      <c r="I229" s="138"/>
      <c r="J229" s="238"/>
      <c r="K229" s="267"/>
      <c r="L229" s="268"/>
      <c r="M229" s="268"/>
      <c r="N229" s="210"/>
      <c r="O229" s="221"/>
    </row>
    <row r="230" spans="2:15" ht="20.100000000000001" customHeight="1" x14ac:dyDescent="0.3">
      <c r="B230" s="250"/>
      <c r="C230" s="250"/>
      <c r="D230" s="229"/>
      <c r="E230" s="215"/>
      <c r="F230" s="235"/>
      <c r="G230" s="105">
        <v>3</v>
      </c>
      <c r="H230" s="140"/>
      <c r="I230" s="138"/>
      <c r="J230" s="238"/>
      <c r="K230" s="267"/>
      <c r="L230" s="268"/>
      <c r="M230" s="268"/>
      <c r="N230" s="210"/>
      <c r="O230" s="221"/>
    </row>
    <row r="231" spans="2:15" ht="20.100000000000001" customHeight="1" x14ac:dyDescent="0.3">
      <c r="B231" s="250"/>
      <c r="C231" s="250"/>
      <c r="D231" s="229"/>
      <c r="E231" s="215"/>
      <c r="F231" s="235"/>
      <c r="G231" s="105">
        <v>4</v>
      </c>
      <c r="H231" s="140"/>
      <c r="I231" s="138"/>
      <c r="J231" s="238"/>
      <c r="K231" s="267"/>
      <c r="L231" s="268"/>
      <c r="M231" s="268"/>
      <c r="N231" s="210"/>
      <c r="O231" s="221"/>
    </row>
    <row r="232" spans="2:15" ht="20.100000000000001" customHeight="1" x14ac:dyDescent="0.3">
      <c r="B232" s="250"/>
      <c r="C232" s="250"/>
      <c r="D232" s="229"/>
      <c r="E232" s="215"/>
      <c r="F232" s="235"/>
      <c r="G232" s="105">
        <v>5</v>
      </c>
      <c r="H232" s="140"/>
      <c r="I232" s="138"/>
      <c r="J232" s="238"/>
      <c r="K232" s="267"/>
      <c r="L232" s="268"/>
      <c r="M232" s="268"/>
      <c r="N232" s="210"/>
      <c r="O232" s="221"/>
    </row>
    <row r="233" spans="2:15" ht="20.100000000000001" customHeight="1" x14ac:dyDescent="0.3">
      <c r="B233" s="250"/>
      <c r="C233" s="250"/>
      <c r="D233" s="229"/>
      <c r="E233" s="215"/>
      <c r="F233" s="235"/>
      <c r="G233" s="105">
        <v>6</v>
      </c>
      <c r="H233" s="140"/>
      <c r="I233" s="138"/>
      <c r="J233" s="238"/>
      <c r="K233" s="267"/>
      <c r="L233" s="268"/>
      <c r="M233" s="268"/>
      <c r="N233" s="210"/>
      <c r="O233" s="221"/>
    </row>
    <row r="234" spans="2:15" ht="20.100000000000001" customHeight="1" x14ac:dyDescent="0.3">
      <c r="B234" s="250"/>
      <c r="C234" s="250"/>
      <c r="D234" s="229"/>
      <c r="E234" s="215"/>
      <c r="F234" s="235"/>
      <c r="G234" s="105">
        <v>7</v>
      </c>
      <c r="H234" s="140"/>
      <c r="I234" s="138"/>
      <c r="J234" s="238"/>
      <c r="K234" s="267"/>
      <c r="L234" s="268"/>
      <c r="M234" s="268"/>
      <c r="N234" s="210"/>
      <c r="O234" s="221"/>
    </row>
    <row r="235" spans="2:15" ht="20.100000000000001" customHeight="1" thickBot="1" x14ac:dyDescent="0.35">
      <c r="B235" s="251"/>
      <c r="C235" s="251"/>
      <c r="D235" s="230"/>
      <c r="E235" s="216"/>
      <c r="F235" s="236"/>
      <c r="G235" s="109">
        <v>8</v>
      </c>
      <c r="H235" s="141"/>
      <c r="I235" s="139"/>
      <c r="J235" s="239"/>
      <c r="K235" s="267"/>
      <c r="L235" s="268"/>
      <c r="M235" s="268"/>
      <c r="N235" s="210"/>
      <c r="O235" s="221"/>
    </row>
    <row r="236" spans="2:15" ht="22.5" customHeight="1" x14ac:dyDescent="0.3"/>
    <row r="237" spans="2:15" ht="12" customHeight="1" x14ac:dyDescent="0.3"/>
    <row r="238" spans="2:15" ht="22.5" customHeight="1" x14ac:dyDescent="0.3"/>
    <row r="239" spans="2:15" ht="22.5" customHeight="1" x14ac:dyDescent="0.3"/>
    <row r="240" spans="2:15" ht="22.5" customHeight="1" x14ac:dyDescent="0.3"/>
    <row r="241" ht="22.5" customHeight="1" x14ac:dyDescent="0.3"/>
    <row r="242" ht="22.5" customHeight="1" x14ac:dyDescent="0.3"/>
    <row r="243" ht="22.5" customHeight="1" x14ac:dyDescent="0.3"/>
    <row r="244" ht="22.5" customHeight="1" x14ac:dyDescent="0.3"/>
    <row r="245" ht="22.5" customHeight="1" x14ac:dyDescent="0.3"/>
    <row r="246" ht="22.5" customHeight="1" x14ac:dyDescent="0.3"/>
    <row r="247" ht="22.5" customHeight="1" x14ac:dyDescent="0.3"/>
    <row r="248" ht="22.5" customHeight="1" x14ac:dyDescent="0.3"/>
    <row r="249" ht="22.5" customHeight="1" x14ac:dyDescent="0.3"/>
    <row r="250" ht="22.5" customHeight="1" x14ac:dyDescent="0.3"/>
    <row r="251" ht="22.5" customHeight="1" x14ac:dyDescent="0.3"/>
    <row r="252" ht="22.5" customHeight="1" x14ac:dyDescent="0.3"/>
    <row r="253" ht="22.5" customHeight="1" x14ac:dyDescent="0.3"/>
    <row r="254" ht="22.5" customHeight="1" x14ac:dyDescent="0.3"/>
    <row r="255" ht="22.5" customHeight="1" x14ac:dyDescent="0.3"/>
    <row r="256" ht="22.5" customHeight="1" x14ac:dyDescent="0.3"/>
    <row r="257" ht="22.5" customHeight="1" x14ac:dyDescent="0.3"/>
    <row r="258" ht="22.5" customHeight="1" x14ac:dyDescent="0.3"/>
    <row r="259" ht="22.5" customHeight="1" x14ac:dyDescent="0.3"/>
    <row r="260" ht="22.5" customHeight="1" x14ac:dyDescent="0.3"/>
    <row r="261" ht="22.5" customHeight="1" x14ac:dyDescent="0.3"/>
    <row r="262" ht="22.5" customHeight="1" x14ac:dyDescent="0.3"/>
    <row r="263" ht="22.5" customHeight="1" x14ac:dyDescent="0.3"/>
    <row r="264" ht="22.5" customHeight="1" x14ac:dyDescent="0.3"/>
    <row r="265" ht="22.5" customHeight="1" x14ac:dyDescent="0.3"/>
    <row r="266" ht="22.5" customHeight="1" x14ac:dyDescent="0.3"/>
    <row r="267" ht="22.5" customHeight="1" x14ac:dyDescent="0.3"/>
    <row r="268" ht="22.5" customHeight="1" x14ac:dyDescent="0.3"/>
    <row r="269" ht="22.5" customHeight="1" x14ac:dyDescent="0.3"/>
    <row r="270" ht="22.5" customHeight="1" x14ac:dyDescent="0.3"/>
    <row r="271" ht="22.5" customHeight="1" x14ac:dyDescent="0.3"/>
    <row r="272" ht="22.5" customHeight="1" x14ac:dyDescent="0.3"/>
    <row r="273" ht="22.5" customHeight="1" x14ac:dyDescent="0.3"/>
    <row r="274" ht="22.5" customHeight="1" x14ac:dyDescent="0.3"/>
    <row r="275" ht="22.5" customHeight="1" x14ac:dyDescent="0.3"/>
    <row r="276" ht="22.5" customHeight="1" x14ac:dyDescent="0.3"/>
    <row r="277" ht="22.5" customHeight="1" x14ac:dyDescent="0.3"/>
    <row r="278" ht="22.5" customHeight="1" x14ac:dyDescent="0.3"/>
    <row r="279" ht="22.5" customHeight="1" x14ac:dyDescent="0.3"/>
    <row r="280" ht="22.5" customHeight="1" x14ac:dyDescent="0.3"/>
    <row r="281" ht="22.5" customHeight="1" x14ac:dyDescent="0.3"/>
    <row r="282" ht="22.5" customHeight="1" x14ac:dyDescent="0.3"/>
    <row r="283" ht="22.5" customHeight="1" x14ac:dyDescent="0.3"/>
    <row r="284" ht="22.5" customHeight="1" x14ac:dyDescent="0.3"/>
    <row r="285" ht="22.5" customHeight="1" x14ac:dyDescent="0.3"/>
    <row r="286" ht="22.5" customHeight="1" x14ac:dyDescent="0.3"/>
    <row r="287" ht="22.5" customHeight="1" x14ac:dyDescent="0.3"/>
    <row r="288" ht="22.5" customHeight="1" x14ac:dyDescent="0.3"/>
    <row r="289" ht="22.5" customHeight="1" x14ac:dyDescent="0.3"/>
    <row r="290" ht="22.5" customHeight="1" x14ac:dyDescent="0.3"/>
    <row r="291" ht="22.5" customHeight="1" x14ac:dyDescent="0.3"/>
    <row r="292" ht="22.5" customHeight="1" x14ac:dyDescent="0.3"/>
    <row r="293" ht="22.5" customHeight="1" x14ac:dyDescent="0.3"/>
    <row r="294" ht="22.5" customHeight="1" x14ac:dyDescent="0.3"/>
    <row r="295" ht="22.5" customHeight="1" x14ac:dyDescent="0.3"/>
    <row r="296" ht="22.5" customHeight="1" x14ac:dyDescent="0.3"/>
    <row r="297" ht="22.5" customHeight="1" x14ac:dyDescent="0.3"/>
    <row r="298" ht="22.5" customHeight="1" x14ac:dyDescent="0.3"/>
    <row r="299" ht="22.5" customHeight="1" x14ac:dyDescent="0.3"/>
    <row r="300" ht="22.5" customHeight="1" x14ac:dyDescent="0.3"/>
    <row r="301" ht="22.5" customHeight="1" x14ac:dyDescent="0.3"/>
    <row r="302" ht="22.5" customHeight="1" x14ac:dyDescent="0.3"/>
    <row r="303" ht="22.5" customHeight="1" x14ac:dyDescent="0.3"/>
    <row r="304" ht="22.5" customHeight="1" x14ac:dyDescent="0.3"/>
    <row r="305" ht="22.5" customHeight="1" x14ac:dyDescent="0.3"/>
    <row r="306" ht="22.5" customHeight="1" x14ac:dyDescent="0.3"/>
    <row r="307" ht="22.5" customHeight="1" x14ac:dyDescent="0.3"/>
    <row r="308" ht="22.5" customHeight="1" x14ac:dyDescent="0.3"/>
    <row r="309" ht="22.5" customHeight="1" x14ac:dyDescent="0.3"/>
    <row r="310" ht="22.5" customHeight="1" x14ac:dyDescent="0.3"/>
    <row r="311" ht="22.5" customHeight="1" x14ac:dyDescent="0.3"/>
    <row r="312" ht="22.5" customHeight="1" x14ac:dyDescent="0.3"/>
    <row r="313" ht="22.5" customHeight="1" x14ac:dyDescent="0.3"/>
    <row r="314" ht="22.5" customHeight="1" x14ac:dyDescent="0.3"/>
    <row r="315" ht="22.5" customHeight="1" x14ac:dyDescent="0.3"/>
    <row r="316" ht="22.5" customHeight="1" x14ac:dyDescent="0.3"/>
    <row r="317" ht="22.5" customHeight="1" x14ac:dyDescent="0.3"/>
    <row r="318" ht="22.5" customHeight="1" x14ac:dyDescent="0.3"/>
    <row r="319" ht="22.5" customHeight="1" x14ac:dyDescent="0.3"/>
    <row r="320" ht="22.5" customHeight="1" x14ac:dyDescent="0.3"/>
    <row r="321" ht="22.5" customHeight="1" x14ac:dyDescent="0.3"/>
    <row r="322" ht="22.5" customHeight="1" x14ac:dyDescent="0.3"/>
    <row r="323" ht="22.5" customHeight="1" x14ac:dyDescent="0.3"/>
    <row r="324" ht="22.5" customHeight="1" x14ac:dyDescent="0.3"/>
    <row r="325" ht="22.5" customHeight="1" x14ac:dyDescent="0.3"/>
    <row r="326" ht="22.5" customHeight="1" x14ac:dyDescent="0.3"/>
    <row r="327" ht="22.5" customHeight="1" x14ac:dyDescent="0.3"/>
    <row r="328" ht="22.5" customHeight="1" x14ac:dyDescent="0.3"/>
    <row r="329" ht="22.5" customHeight="1" x14ac:dyDescent="0.3"/>
    <row r="330" ht="22.5" customHeight="1" x14ac:dyDescent="0.3"/>
    <row r="331" ht="22.5" customHeight="1" x14ac:dyDescent="0.3"/>
    <row r="332" ht="22.5" customHeight="1" x14ac:dyDescent="0.3"/>
    <row r="333" ht="22.5" customHeight="1" x14ac:dyDescent="0.3"/>
    <row r="334" ht="22.5" customHeight="1" x14ac:dyDescent="0.3"/>
    <row r="335" ht="22.5" customHeight="1" x14ac:dyDescent="0.3"/>
    <row r="336" ht="22.5" customHeight="1" x14ac:dyDescent="0.3"/>
    <row r="337" ht="22.5" customHeight="1" x14ac:dyDescent="0.3"/>
    <row r="338" ht="22.5" customHeight="1" x14ac:dyDescent="0.3"/>
    <row r="339" ht="22.5" customHeight="1" x14ac:dyDescent="0.3"/>
    <row r="340" ht="22.5" customHeight="1" x14ac:dyDescent="0.3"/>
    <row r="341" ht="22.5" customHeight="1" x14ac:dyDescent="0.3"/>
    <row r="342" ht="22.5" customHeight="1" x14ac:dyDescent="0.3"/>
    <row r="343" ht="22.5" customHeight="1" x14ac:dyDescent="0.3"/>
    <row r="344" ht="22.5" customHeight="1" x14ac:dyDescent="0.3"/>
    <row r="345" ht="22.5" customHeight="1" x14ac:dyDescent="0.3"/>
    <row r="346" ht="22.5" customHeight="1" x14ac:dyDescent="0.3"/>
    <row r="347" ht="22.5" customHeight="1" x14ac:dyDescent="0.3"/>
    <row r="348" ht="22.5" customHeight="1" x14ac:dyDescent="0.3"/>
    <row r="349" ht="22.5" customHeight="1" x14ac:dyDescent="0.3"/>
    <row r="350" ht="22.5" customHeight="1" x14ac:dyDescent="0.3"/>
    <row r="351" ht="22.5" customHeight="1" x14ac:dyDescent="0.3"/>
    <row r="352" ht="22.5" customHeight="1" x14ac:dyDescent="0.3"/>
  </sheetData>
  <sheetProtection password="D72A" sheet="1" objects="1" scenarios="1" formatCells="0" formatColumns="0" formatRows="0"/>
  <mergeCells count="368">
    <mergeCell ref="O169:O176"/>
    <mergeCell ref="A24:A31"/>
    <mergeCell ref="D32:D39"/>
    <mergeCell ref="J32:J39"/>
    <mergeCell ref="K32:K39"/>
    <mergeCell ref="C145:C152"/>
    <mergeCell ref="J161:J168"/>
    <mergeCell ref="J145:J152"/>
    <mergeCell ref="J118:J125"/>
    <mergeCell ref="F118:F125"/>
    <mergeCell ref="E118:E125"/>
    <mergeCell ref="D118:D125"/>
    <mergeCell ref="C118:C125"/>
    <mergeCell ref="C110:C117"/>
    <mergeCell ref="J110:J117"/>
    <mergeCell ref="F110:F117"/>
    <mergeCell ref="D137:D144"/>
    <mergeCell ref="E137:E144"/>
    <mergeCell ref="F137:F144"/>
    <mergeCell ref="J137:J144"/>
    <mergeCell ref="C129:C136"/>
    <mergeCell ref="D129:D136"/>
    <mergeCell ref="E129:E136"/>
    <mergeCell ref="F129:F136"/>
    <mergeCell ref="C137:C144"/>
    <mergeCell ref="D145:D152"/>
    <mergeCell ref="F145:F152"/>
    <mergeCell ref="C21:C23"/>
    <mergeCell ref="D21:D23"/>
    <mergeCell ref="F21:F23"/>
    <mergeCell ref="J21:J23"/>
    <mergeCell ref="E21:E23"/>
    <mergeCell ref="C18:K18"/>
    <mergeCell ref="C19:K19"/>
    <mergeCell ref="C48:C55"/>
    <mergeCell ref="D48:D55"/>
    <mergeCell ref="E48:E55"/>
    <mergeCell ref="F48:F55"/>
    <mergeCell ref="J48:J55"/>
    <mergeCell ref="C32:C39"/>
    <mergeCell ref="E32:E39"/>
    <mergeCell ref="F32:F39"/>
    <mergeCell ref="C72:C74"/>
    <mergeCell ref="D72:D74"/>
    <mergeCell ref="F72:F74"/>
    <mergeCell ref="J72:J74"/>
    <mergeCell ref="G73:G74"/>
    <mergeCell ref="H73:H74"/>
    <mergeCell ref="J24:J31"/>
    <mergeCell ref="C40:C47"/>
    <mergeCell ref="D40:D47"/>
    <mergeCell ref="E40:E47"/>
    <mergeCell ref="F40:F47"/>
    <mergeCell ref="J40:J47"/>
    <mergeCell ref="C24:C31"/>
    <mergeCell ref="D24:D31"/>
    <mergeCell ref="E24:E31"/>
    <mergeCell ref="F24:F31"/>
    <mergeCell ref="I32:I39"/>
    <mergeCell ref="E72:E74"/>
    <mergeCell ref="C64:C71"/>
    <mergeCell ref="D64:D71"/>
    <mergeCell ref="E64:E71"/>
    <mergeCell ref="C83:C90"/>
    <mergeCell ref="D83:D90"/>
    <mergeCell ref="E83:E90"/>
    <mergeCell ref="F83:F90"/>
    <mergeCell ref="J83:J90"/>
    <mergeCell ref="C75:C82"/>
    <mergeCell ref="D75:D82"/>
    <mergeCell ref="E75:E82"/>
    <mergeCell ref="F75:F82"/>
    <mergeCell ref="J91:J98"/>
    <mergeCell ref="J99:J101"/>
    <mergeCell ref="G100:G101"/>
    <mergeCell ref="H100:H101"/>
    <mergeCell ref="C99:C101"/>
    <mergeCell ref="D99:D101"/>
    <mergeCell ref="F99:F101"/>
    <mergeCell ref="E99:E101"/>
    <mergeCell ref="I100:I101"/>
    <mergeCell ref="H127:H128"/>
    <mergeCell ref="E126:E128"/>
    <mergeCell ref="D110:D117"/>
    <mergeCell ref="I102:I109"/>
    <mergeCell ref="I110:I117"/>
    <mergeCell ref="G126:I126"/>
    <mergeCell ref="I127:I128"/>
    <mergeCell ref="C91:C98"/>
    <mergeCell ref="D91:D98"/>
    <mergeCell ref="E91:E98"/>
    <mergeCell ref="F91:F98"/>
    <mergeCell ref="I118:I125"/>
    <mergeCell ref="C228:C235"/>
    <mergeCell ref="D228:D235"/>
    <mergeCell ref="E228:E235"/>
    <mergeCell ref="F228:F235"/>
    <mergeCell ref="J228:J235"/>
    <mergeCell ref="H186:H187"/>
    <mergeCell ref="C185:C187"/>
    <mergeCell ref="D185:D187"/>
    <mergeCell ref="F185:F187"/>
    <mergeCell ref="J185:J187"/>
    <mergeCell ref="G186:G187"/>
    <mergeCell ref="J188:J195"/>
    <mergeCell ref="C212:C219"/>
    <mergeCell ref="D212:D219"/>
    <mergeCell ref="E212:E219"/>
    <mergeCell ref="F212:F219"/>
    <mergeCell ref="J212:J219"/>
    <mergeCell ref="C188:C195"/>
    <mergeCell ref="D188:D195"/>
    <mergeCell ref="E188:E195"/>
    <mergeCell ref="F188:F195"/>
    <mergeCell ref="C204:C211"/>
    <mergeCell ref="C220:C227"/>
    <mergeCell ref="F204:F211"/>
    <mergeCell ref="K212:K219"/>
    <mergeCell ref="K220:K227"/>
    <mergeCell ref="J220:J227"/>
    <mergeCell ref="J196:J203"/>
    <mergeCell ref="J204:J211"/>
    <mergeCell ref="C153:C160"/>
    <mergeCell ref="D153:D160"/>
    <mergeCell ref="E153:E160"/>
    <mergeCell ref="F153:F160"/>
    <mergeCell ref="J153:J160"/>
    <mergeCell ref="C177:C184"/>
    <mergeCell ref="D177:D184"/>
    <mergeCell ref="E177:E184"/>
    <mergeCell ref="F177:F184"/>
    <mergeCell ref="J177:J184"/>
    <mergeCell ref="C196:C203"/>
    <mergeCell ref="E185:E187"/>
    <mergeCell ref="C161:C168"/>
    <mergeCell ref="D161:D168"/>
    <mergeCell ref="D196:D203"/>
    <mergeCell ref="D204:D211"/>
    <mergeCell ref="D220:D227"/>
    <mergeCell ref="F161:F168"/>
    <mergeCell ref="F196:F203"/>
    <mergeCell ref="F220:F227"/>
    <mergeCell ref="E13:E14"/>
    <mergeCell ref="F13:J14"/>
    <mergeCell ref="F15:J15"/>
    <mergeCell ref="J129:J136"/>
    <mergeCell ref="J75:J82"/>
    <mergeCell ref="F64:F71"/>
    <mergeCell ref="J64:J71"/>
    <mergeCell ref="G22:G23"/>
    <mergeCell ref="H22:H23"/>
    <mergeCell ref="G21:I21"/>
    <mergeCell ref="I22:I23"/>
    <mergeCell ref="I24:I31"/>
    <mergeCell ref="I40:I47"/>
    <mergeCell ref="I48:I55"/>
    <mergeCell ref="I64:I71"/>
    <mergeCell ref="G72:I72"/>
    <mergeCell ref="I73:I74"/>
    <mergeCell ref="I75:I82"/>
    <mergeCell ref="I83:I90"/>
    <mergeCell ref="I91:I98"/>
    <mergeCell ref="G99:I99"/>
    <mergeCell ref="G185:I185"/>
    <mergeCell ref="I186:I187"/>
    <mergeCell ref="K228:K235"/>
    <mergeCell ref="K196:K203"/>
    <mergeCell ref="K21:K23"/>
    <mergeCell ref="K24:K31"/>
    <mergeCell ref="K40:K47"/>
    <mergeCell ref="K48:K55"/>
    <mergeCell ref="K64:K71"/>
    <mergeCell ref="K72:K74"/>
    <mergeCell ref="K99:K101"/>
    <mergeCell ref="K126:K128"/>
    <mergeCell ref="K185:K187"/>
    <mergeCell ref="K75:K82"/>
    <mergeCell ref="K83:K90"/>
    <mergeCell ref="K91:K98"/>
    <mergeCell ref="K102:K109"/>
    <mergeCell ref="K110:K117"/>
    <mergeCell ref="K118:K125"/>
    <mergeCell ref="K129:K136"/>
    <mergeCell ref="K137:K144"/>
    <mergeCell ref="K145:K152"/>
    <mergeCell ref="K153:K160"/>
    <mergeCell ref="K161:K168"/>
    <mergeCell ref="K177:K184"/>
    <mergeCell ref="K188:K195"/>
    <mergeCell ref="B24:B31"/>
    <mergeCell ref="B21:B23"/>
    <mergeCell ref="B40:B47"/>
    <mergeCell ref="B48:B55"/>
    <mergeCell ref="B64:B71"/>
    <mergeCell ref="B72:B74"/>
    <mergeCell ref="B75:B82"/>
    <mergeCell ref="B83:B90"/>
    <mergeCell ref="B91:B98"/>
    <mergeCell ref="B32:B39"/>
    <mergeCell ref="B56:B63"/>
    <mergeCell ref="B99:B101"/>
    <mergeCell ref="B102:B109"/>
    <mergeCell ref="B110:B117"/>
    <mergeCell ref="B118:B125"/>
    <mergeCell ref="B126:B128"/>
    <mergeCell ref="B129:B136"/>
    <mergeCell ref="B137:B144"/>
    <mergeCell ref="B145:B152"/>
    <mergeCell ref="B153:B160"/>
    <mergeCell ref="B161:B168"/>
    <mergeCell ref="B177:B184"/>
    <mergeCell ref="B185:B187"/>
    <mergeCell ref="B188:B195"/>
    <mergeCell ref="B196:B203"/>
    <mergeCell ref="B204:B211"/>
    <mergeCell ref="B212:B219"/>
    <mergeCell ref="B220:B227"/>
    <mergeCell ref="B228:B235"/>
    <mergeCell ref="B169:B176"/>
    <mergeCell ref="L21:L23"/>
    <mergeCell ref="L24:L31"/>
    <mergeCell ref="L40:L47"/>
    <mergeCell ref="L48:L55"/>
    <mergeCell ref="L64:L71"/>
    <mergeCell ref="L72:L74"/>
    <mergeCell ref="L75:L82"/>
    <mergeCell ref="L83:L90"/>
    <mergeCell ref="L91:L98"/>
    <mergeCell ref="L56:L63"/>
    <mergeCell ref="L32:L39"/>
    <mergeCell ref="M169:M176"/>
    <mergeCell ref="L220:L227"/>
    <mergeCell ref="L228:L235"/>
    <mergeCell ref="L99:L101"/>
    <mergeCell ref="L102:L109"/>
    <mergeCell ref="L110:L117"/>
    <mergeCell ref="L118:L125"/>
    <mergeCell ref="L126:L128"/>
    <mergeCell ref="L129:L136"/>
    <mergeCell ref="L137:L144"/>
    <mergeCell ref="L145:L152"/>
    <mergeCell ref="L153:L160"/>
    <mergeCell ref="L161:L168"/>
    <mergeCell ref="L177:L184"/>
    <mergeCell ref="L185:L187"/>
    <mergeCell ref="L188:L195"/>
    <mergeCell ref="L196:L203"/>
    <mergeCell ref="L204:L211"/>
    <mergeCell ref="L212:L219"/>
    <mergeCell ref="L169:L176"/>
    <mergeCell ref="M32:M39"/>
    <mergeCell ref="M188:M195"/>
    <mergeCell ref="M196:M203"/>
    <mergeCell ref="M204:M211"/>
    <mergeCell ref="M212:M219"/>
    <mergeCell ref="M21:M23"/>
    <mergeCell ref="M24:M31"/>
    <mergeCell ref="M40:M47"/>
    <mergeCell ref="M48:M55"/>
    <mergeCell ref="M64:M71"/>
    <mergeCell ref="M72:M74"/>
    <mergeCell ref="M75:M82"/>
    <mergeCell ref="M83:M90"/>
    <mergeCell ref="M91:M98"/>
    <mergeCell ref="M118:M125"/>
    <mergeCell ref="M126:M128"/>
    <mergeCell ref="M129:M136"/>
    <mergeCell ref="M137:M144"/>
    <mergeCell ref="M145:M152"/>
    <mergeCell ref="M153:M160"/>
    <mergeCell ref="M161:M168"/>
    <mergeCell ref="M177:M184"/>
    <mergeCell ref="M185:M187"/>
    <mergeCell ref="M56:M63"/>
    <mergeCell ref="K204:K211"/>
    <mergeCell ref="O220:O227"/>
    <mergeCell ref="O228:O235"/>
    <mergeCell ref="O99:O101"/>
    <mergeCell ref="O102:O109"/>
    <mergeCell ref="O110:O117"/>
    <mergeCell ref="O118:O125"/>
    <mergeCell ref="O126:O128"/>
    <mergeCell ref="O129:O136"/>
    <mergeCell ref="O137:O144"/>
    <mergeCell ref="O145:O152"/>
    <mergeCell ref="O153:O160"/>
    <mergeCell ref="O161:O168"/>
    <mergeCell ref="O177:O184"/>
    <mergeCell ref="O185:O187"/>
    <mergeCell ref="O188:O195"/>
    <mergeCell ref="O196:O203"/>
    <mergeCell ref="O204:O211"/>
    <mergeCell ref="O212:O219"/>
    <mergeCell ref="M220:M227"/>
    <mergeCell ref="M228:M235"/>
    <mergeCell ref="M99:M101"/>
    <mergeCell ref="M102:M109"/>
    <mergeCell ref="M110:M117"/>
    <mergeCell ref="C56:C63"/>
    <mergeCell ref="D56:D63"/>
    <mergeCell ref="E56:E63"/>
    <mergeCell ref="F56:F63"/>
    <mergeCell ref="J56:J63"/>
    <mergeCell ref="K56:K63"/>
    <mergeCell ref="C169:C176"/>
    <mergeCell ref="D169:D176"/>
    <mergeCell ref="E161:E168"/>
    <mergeCell ref="E169:E176"/>
    <mergeCell ref="F169:F176"/>
    <mergeCell ref="I169:I176"/>
    <mergeCell ref="J169:J176"/>
    <mergeCell ref="K169:K176"/>
    <mergeCell ref="C102:C109"/>
    <mergeCell ref="D102:D109"/>
    <mergeCell ref="E102:E109"/>
    <mergeCell ref="F102:F109"/>
    <mergeCell ref="J102:J109"/>
    <mergeCell ref="C126:C128"/>
    <mergeCell ref="D126:D128"/>
    <mergeCell ref="F126:F128"/>
    <mergeCell ref="J126:J128"/>
    <mergeCell ref="G127:G128"/>
    <mergeCell ref="N126:N128"/>
    <mergeCell ref="N129:N136"/>
    <mergeCell ref="N137:N144"/>
    <mergeCell ref="N21:N23"/>
    <mergeCell ref="N24:N31"/>
    <mergeCell ref="O32:O39"/>
    <mergeCell ref="N40:N47"/>
    <mergeCell ref="N48:N55"/>
    <mergeCell ref="N56:N63"/>
    <mergeCell ref="N64:N71"/>
    <mergeCell ref="N72:N74"/>
    <mergeCell ref="N75:N82"/>
    <mergeCell ref="O21:O23"/>
    <mergeCell ref="O24:O31"/>
    <mergeCell ref="O40:O47"/>
    <mergeCell ref="O48:O55"/>
    <mergeCell ref="O64:O71"/>
    <mergeCell ref="O72:O74"/>
    <mergeCell ref="O75:O82"/>
    <mergeCell ref="O83:O90"/>
    <mergeCell ref="O91:O98"/>
    <mergeCell ref="O56:O63"/>
    <mergeCell ref="N212:N219"/>
    <mergeCell ref="N220:N227"/>
    <mergeCell ref="N228:N235"/>
    <mergeCell ref="N32:N39"/>
    <mergeCell ref="E110:E117"/>
    <mergeCell ref="E145:E152"/>
    <mergeCell ref="E196:E203"/>
    <mergeCell ref="E204:E211"/>
    <mergeCell ref="E220:E227"/>
    <mergeCell ref="N145:N152"/>
    <mergeCell ref="N153:N160"/>
    <mergeCell ref="N161:N168"/>
    <mergeCell ref="N169:N176"/>
    <mergeCell ref="N177:N184"/>
    <mergeCell ref="N185:N187"/>
    <mergeCell ref="N188:N195"/>
    <mergeCell ref="N196:N203"/>
    <mergeCell ref="N204:N211"/>
    <mergeCell ref="N83:N90"/>
    <mergeCell ref="N91:N98"/>
    <mergeCell ref="N99:N101"/>
    <mergeCell ref="N102:N109"/>
    <mergeCell ref="N110:N117"/>
    <mergeCell ref="N118:N125"/>
  </mergeCells>
  <dataValidations count="1">
    <dataValidation type="list" allowBlank="1" showInputMessage="1" showErrorMessage="1" sqref="F177:F184 J75:J98 J102:J125 F75:F98 J177 F102:F125 J228 F40:F71 F228:F235 F129:F145 J169 F188:F196 F204 F212:F220 J129 J137 J145 J153 J161 J188 J196 J204 J212 J220 F24:F32 J24:J32 F169 J40:J56 J64:J71 F153 F161" xr:uid="{00000000-0002-0000-0200-000000000000}">
      <formula1>"1,2,3"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rgb="FF83A343"/>
  </sheetPr>
  <dimension ref="B5:P160"/>
  <sheetViews>
    <sheetView showGridLines="0" topLeftCell="A120" zoomScale="88" zoomScaleNormal="100" workbookViewId="0">
      <selection activeCell="H101" sqref="H101"/>
    </sheetView>
  </sheetViews>
  <sheetFormatPr baseColWidth="10" defaultColWidth="3.140625" defaultRowHeight="22.5" customHeight="1" x14ac:dyDescent="0.3"/>
  <cols>
    <col min="1" max="1" width="2.42578125" style="10" customWidth="1"/>
    <col min="2" max="2" width="3.42578125" style="10" hidden="1" customWidth="1"/>
    <col min="3" max="4" width="42.42578125" style="10" customWidth="1"/>
    <col min="5" max="5" width="38" style="10" customWidth="1"/>
    <col min="6" max="6" width="7.42578125" style="10" customWidth="1"/>
    <col min="7" max="7" width="3.42578125" style="10" bestFit="1" customWidth="1"/>
    <col min="8" max="8" width="37" style="10" customWidth="1"/>
    <col min="9" max="9" width="38" style="10" customWidth="1"/>
    <col min="10" max="10" width="7.42578125" style="10" customWidth="1"/>
    <col min="11" max="11" width="16.140625" style="10" customWidth="1"/>
    <col min="12" max="12" width="4.7109375" style="68" customWidth="1"/>
    <col min="13" max="13" width="7.42578125" style="68" customWidth="1"/>
    <col min="14" max="14" width="6.28515625" style="69" customWidth="1"/>
    <col min="15" max="15" width="6.28515625" style="102" customWidth="1"/>
    <col min="16" max="16" width="3.140625" style="103" customWidth="1"/>
    <col min="17" max="16364" width="3.140625" style="10" customWidth="1"/>
    <col min="16365" max="16384" width="3.140625" style="10"/>
  </cols>
  <sheetData>
    <row r="5" spans="2:16" ht="9.9499999999999993" customHeight="1" x14ac:dyDescent="0.3"/>
    <row r="6" spans="2:16" ht="31.5" customHeight="1" x14ac:dyDescent="0.3"/>
    <row r="7" spans="2:16" ht="30.75" customHeight="1" x14ac:dyDescent="0.3">
      <c r="E7" s="14"/>
      <c r="F7" s="14"/>
    </row>
    <row r="8" spans="2:16" ht="20.25" customHeight="1" x14ac:dyDescent="0.3"/>
    <row r="9" spans="2:16" ht="9.9499999999999993" customHeight="1" x14ac:dyDescent="0.3"/>
    <row r="10" spans="2:16" ht="19.7" customHeight="1" x14ac:dyDescent="0.3">
      <c r="C10" s="409" t="s">
        <v>171</v>
      </c>
      <c r="D10" s="409"/>
      <c r="E10" s="409"/>
      <c r="F10" s="409"/>
      <c r="G10" s="409"/>
      <c r="H10" s="409"/>
      <c r="I10" s="409"/>
      <c r="J10" s="409"/>
      <c r="K10" s="409"/>
    </row>
    <row r="11" spans="2:16" ht="71.25" customHeight="1" x14ac:dyDescent="0.3">
      <c r="C11" s="332" t="s">
        <v>172</v>
      </c>
      <c r="D11" s="332"/>
      <c r="E11" s="332"/>
      <c r="F11" s="332"/>
      <c r="G11" s="332"/>
      <c r="H11" s="332"/>
      <c r="I11" s="332"/>
      <c r="J11" s="332"/>
      <c r="K11" s="332"/>
    </row>
    <row r="12" spans="2:16" ht="9.9499999999999993" customHeight="1" x14ac:dyDescent="0.3">
      <c r="C12" s="11"/>
      <c r="D12" s="11"/>
      <c r="F12" s="12"/>
    </row>
    <row r="13" spans="2:16" ht="36.75" customHeight="1" x14ac:dyDescent="0.3">
      <c r="B13" s="394" t="s">
        <v>111</v>
      </c>
      <c r="C13" s="400" t="s">
        <v>173</v>
      </c>
      <c r="D13" s="414" t="s">
        <v>8</v>
      </c>
      <c r="E13" s="414" t="s">
        <v>174</v>
      </c>
      <c r="F13" s="401" t="s">
        <v>175</v>
      </c>
      <c r="G13" s="412" t="s">
        <v>115</v>
      </c>
      <c r="H13" s="413"/>
      <c r="I13" s="413"/>
      <c r="J13" s="401" t="s">
        <v>176</v>
      </c>
      <c r="K13" s="401" t="s">
        <v>135</v>
      </c>
      <c r="L13" s="443"/>
      <c r="M13" s="443"/>
      <c r="N13" s="390"/>
      <c r="O13" s="445"/>
      <c r="P13" s="447"/>
    </row>
    <row r="14" spans="2:16" ht="29.25" customHeight="1" x14ac:dyDescent="0.3">
      <c r="B14" s="395"/>
      <c r="C14" s="395"/>
      <c r="D14" s="418"/>
      <c r="E14" s="418"/>
      <c r="F14" s="401"/>
      <c r="G14" s="440" t="s">
        <v>13</v>
      </c>
      <c r="H14" s="414" t="s">
        <v>15</v>
      </c>
      <c r="I14" s="414" t="s">
        <v>17</v>
      </c>
      <c r="J14" s="401"/>
      <c r="K14" s="401"/>
      <c r="L14" s="443"/>
      <c r="M14" s="443"/>
      <c r="N14" s="390"/>
      <c r="O14" s="445"/>
      <c r="P14" s="447"/>
    </row>
    <row r="15" spans="2:16" ht="99.75" customHeight="1" thickBot="1" x14ac:dyDescent="0.35">
      <c r="B15" s="396"/>
      <c r="C15" s="396"/>
      <c r="D15" s="419"/>
      <c r="E15" s="419"/>
      <c r="F15" s="402"/>
      <c r="G15" s="441"/>
      <c r="H15" s="415"/>
      <c r="I15" s="415"/>
      <c r="J15" s="402"/>
      <c r="K15" s="402"/>
      <c r="L15" s="443"/>
      <c r="M15" s="443"/>
      <c r="N15" s="390"/>
      <c r="O15" s="445"/>
      <c r="P15" s="447"/>
    </row>
    <row r="16" spans="2:16" ht="69" customHeight="1" x14ac:dyDescent="0.3">
      <c r="B16" s="249" t="str">
        <f>+LEFT(C16,3)</f>
        <v>6.1</v>
      </c>
      <c r="C16" s="403" t="s">
        <v>177</v>
      </c>
      <c r="D16" s="228" t="s">
        <v>178</v>
      </c>
      <c r="E16" s="333" t="s">
        <v>549</v>
      </c>
      <c r="F16" s="234">
        <v>3</v>
      </c>
      <c r="G16" s="110">
        <v>1</v>
      </c>
      <c r="H16" s="106" t="s">
        <v>550</v>
      </c>
      <c r="I16" s="231" t="s">
        <v>551</v>
      </c>
      <c r="J16" s="255">
        <v>3</v>
      </c>
      <c r="K16" s="284" t="str">
        <f t="shared" ref="K16" si="0">+IF(OR(ISBLANK(F16),ISBLANK(J16)),"",IF(OR(AND(F16=1,J16=1),AND(F16=1,J16=2),AND(F16=1,J16=3)),"Deficiencia de control mayor (diseño y ejecución)",IF(OR(AND(F16=2,J16=2),AND(F16=3,J16=1),AND(F16=3,J16=2),AND(F16=2,J16=1)),"Deficiencia de control (diseño o ejecución)",IF(AND(F16=2,J16=3),"Oportunidad de mejora","Mantenimiento del control"))))</f>
        <v>Mantenimiento del control</v>
      </c>
      <c r="L16" s="268">
        <f>+IF(K16="",75,IF(K16="Deficiencia de control mayor (diseño y ejecución)",80,IF(K16="Deficiencia de control (diseño o ejecución)",100,IF(K16="Oportunidad de mejora",120,140))))</f>
        <v>140</v>
      </c>
      <c r="M16" s="444">
        <v>1.7896000000000001</v>
      </c>
      <c r="N16" s="388">
        <f>+L16+M16</f>
        <v>141.78960000000001</v>
      </c>
      <c r="P16" s="448"/>
    </row>
    <row r="17" spans="2:16" ht="26.25" customHeight="1" x14ac:dyDescent="0.3">
      <c r="B17" s="250"/>
      <c r="C17" s="404"/>
      <c r="D17" s="229"/>
      <c r="E17" s="416"/>
      <c r="F17" s="235"/>
      <c r="G17" s="105">
        <v>2</v>
      </c>
      <c r="H17" s="105"/>
      <c r="I17" s="232"/>
      <c r="J17" s="256"/>
      <c r="K17" s="285"/>
      <c r="L17" s="268"/>
      <c r="M17" s="444"/>
      <c r="N17" s="388"/>
      <c r="P17" s="448"/>
    </row>
    <row r="18" spans="2:16" ht="26.25" customHeight="1" x14ac:dyDescent="0.3">
      <c r="B18" s="250"/>
      <c r="C18" s="404"/>
      <c r="D18" s="229"/>
      <c r="E18" s="416"/>
      <c r="F18" s="235"/>
      <c r="G18" s="105">
        <v>3</v>
      </c>
      <c r="H18" s="105"/>
      <c r="I18" s="232"/>
      <c r="J18" s="256"/>
      <c r="K18" s="285"/>
      <c r="L18" s="268"/>
      <c r="M18" s="444"/>
      <c r="N18" s="388"/>
      <c r="P18" s="448"/>
    </row>
    <row r="19" spans="2:16" ht="26.25" customHeight="1" x14ac:dyDescent="0.3">
      <c r="B19" s="250"/>
      <c r="C19" s="404"/>
      <c r="D19" s="229"/>
      <c r="E19" s="416"/>
      <c r="F19" s="235"/>
      <c r="G19" s="105">
        <v>4</v>
      </c>
      <c r="H19" s="105"/>
      <c r="I19" s="232"/>
      <c r="J19" s="256"/>
      <c r="K19" s="285"/>
      <c r="L19" s="268"/>
      <c r="M19" s="444"/>
      <c r="N19" s="388"/>
      <c r="P19" s="448"/>
    </row>
    <row r="20" spans="2:16" ht="26.25" customHeight="1" x14ac:dyDescent="0.3">
      <c r="B20" s="250"/>
      <c r="C20" s="404"/>
      <c r="D20" s="229"/>
      <c r="E20" s="416"/>
      <c r="F20" s="235"/>
      <c r="G20" s="105">
        <v>5</v>
      </c>
      <c r="H20" s="105"/>
      <c r="I20" s="232"/>
      <c r="J20" s="256"/>
      <c r="K20" s="285"/>
      <c r="L20" s="268"/>
      <c r="M20" s="444"/>
      <c r="N20" s="388"/>
      <c r="P20" s="448"/>
    </row>
    <row r="21" spans="2:16" ht="26.25" customHeight="1" x14ac:dyDescent="0.3">
      <c r="B21" s="250"/>
      <c r="C21" s="404"/>
      <c r="D21" s="229"/>
      <c r="E21" s="416"/>
      <c r="F21" s="235"/>
      <c r="G21" s="105">
        <v>6</v>
      </c>
      <c r="H21" s="105"/>
      <c r="I21" s="232"/>
      <c r="J21" s="256"/>
      <c r="K21" s="285"/>
      <c r="L21" s="268"/>
      <c r="M21" s="444"/>
      <c r="N21" s="388"/>
      <c r="P21" s="448"/>
    </row>
    <row r="22" spans="2:16" ht="26.25" customHeight="1" x14ac:dyDescent="0.3">
      <c r="B22" s="250"/>
      <c r="C22" s="404"/>
      <c r="D22" s="229"/>
      <c r="E22" s="416"/>
      <c r="F22" s="235"/>
      <c r="G22" s="105">
        <v>7</v>
      </c>
      <c r="H22" s="105"/>
      <c r="I22" s="232"/>
      <c r="J22" s="256"/>
      <c r="K22" s="285"/>
      <c r="L22" s="268"/>
      <c r="M22" s="444"/>
      <c r="N22" s="388"/>
      <c r="P22" s="448"/>
    </row>
    <row r="23" spans="2:16" ht="26.25" customHeight="1" thickBot="1" x14ac:dyDescent="0.35">
      <c r="B23" s="251"/>
      <c r="C23" s="405"/>
      <c r="D23" s="230"/>
      <c r="E23" s="417"/>
      <c r="F23" s="236"/>
      <c r="G23" s="109">
        <v>8</v>
      </c>
      <c r="H23" s="109"/>
      <c r="I23" s="233"/>
      <c r="J23" s="257"/>
      <c r="K23" s="286"/>
      <c r="L23" s="268"/>
      <c r="M23" s="444"/>
      <c r="N23" s="388"/>
      <c r="P23" s="448"/>
    </row>
    <row r="24" spans="2:16" ht="66" customHeight="1" x14ac:dyDescent="0.3">
      <c r="B24" s="391" t="str">
        <f>+LEFT(C24,3)</f>
        <v>6.2</v>
      </c>
      <c r="C24" s="397" t="s">
        <v>179</v>
      </c>
      <c r="D24" s="228" t="s">
        <v>180</v>
      </c>
      <c r="E24" s="333" t="s">
        <v>463</v>
      </c>
      <c r="F24" s="234">
        <v>3</v>
      </c>
      <c r="G24" s="110">
        <v>1</v>
      </c>
      <c r="H24" s="106" t="s">
        <v>552</v>
      </c>
      <c r="I24" s="150" t="s">
        <v>553</v>
      </c>
      <c r="J24" s="234">
        <v>3</v>
      </c>
      <c r="K24" s="284" t="str">
        <f t="shared" ref="K24:K32" si="1">+IF(OR(ISBLANK(F24),ISBLANK(J24)),"",IF(OR(AND(F24=1,J24=1),AND(F24=1,J24=2),AND(F24=1,J24=3)),"Deficiencia de control mayor (diseño y ejecución)",IF(OR(AND(F24=2,J24=2),AND(F24=3,J24=1),AND(F24=3,J24=2),AND(F24=2,J24=1)),"Deficiencia de control (diseño o ejecución)",IF(AND(F24=2,J24=3),"Oportunidad de mejora","Mantenimiento del control"))))</f>
        <v>Mantenimiento del control</v>
      </c>
      <c r="L24" s="268">
        <f t="shared" ref="L24" si="2">+IF(K24="",75,IF(K24="Deficiencia de control mayor (diseño y ejecución)",80,IF(K24="Deficiencia de control (diseño o ejecución)",100,IF(K24="Oportunidad de mejora",120,140))))</f>
        <v>140</v>
      </c>
      <c r="M24" s="444">
        <v>1.8895999999999999</v>
      </c>
      <c r="N24" s="388">
        <f t="shared" ref="N24" si="3">+L24+M24</f>
        <v>141.8896</v>
      </c>
      <c r="O24" s="446"/>
      <c r="P24" s="448"/>
    </row>
    <row r="25" spans="2:16" ht="22.5" customHeight="1" x14ac:dyDescent="0.3">
      <c r="B25" s="392"/>
      <c r="C25" s="398"/>
      <c r="D25" s="229"/>
      <c r="E25" s="416"/>
      <c r="F25" s="235"/>
      <c r="G25" s="105">
        <v>2</v>
      </c>
      <c r="H25" s="105"/>
      <c r="I25" s="153"/>
      <c r="J25" s="235"/>
      <c r="K25" s="285"/>
      <c r="L25" s="268"/>
      <c r="M25" s="444"/>
      <c r="N25" s="388"/>
      <c r="O25" s="446"/>
      <c r="P25" s="448"/>
    </row>
    <row r="26" spans="2:16" ht="22.5" customHeight="1" x14ac:dyDescent="0.3">
      <c r="B26" s="392"/>
      <c r="C26" s="398"/>
      <c r="D26" s="229"/>
      <c r="E26" s="416"/>
      <c r="F26" s="235"/>
      <c r="G26" s="105">
        <v>3</v>
      </c>
      <c r="H26" s="105"/>
      <c r="I26" s="153"/>
      <c r="J26" s="235"/>
      <c r="K26" s="285"/>
      <c r="L26" s="268"/>
      <c r="M26" s="444"/>
      <c r="N26" s="388"/>
      <c r="O26" s="446"/>
      <c r="P26" s="448"/>
    </row>
    <row r="27" spans="2:16" ht="22.5" customHeight="1" x14ac:dyDescent="0.3">
      <c r="B27" s="392"/>
      <c r="C27" s="398"/>
      <c r="D27" s="229"/>
      <c r="E27" s="416"/>
      <c r="F27" s="235"/>
      <c r="G27" s="105">
        <v>4</v>
      </c>
      <c r="H27" s="105"/>
      <c r="I27" s="153"/>
      <c r="J27" s="235"/>
      <c r="K27" s="285"/>
      <c r="L27" s="268"/>
      <c r="M27" s="444"/>
      <c r="N27" s="388"/>
      <c r="O27" s="446"/>
      <c r="P27" s="448"/>
    </row>
    <row r="28" spans="2:16" ht="22.5" customHeight="1" x14ac:dyDescent="0.3">
      <c r="B28" s="392"/>
      <c r="C28" s="398"/>
      <c r="D28" s="229"/>
      <c r="E28" s="416"/>
      <c r="F28" s="235"/>
      <c r="G28" s="105">
        <v>5</v>
      </c>
      <c r="H28" s="105"/>
      <c r="I28" s="153"/>
      <c r="J28" s="235"/>
      <c r="K28" s="285"/>
      <c r="L28" s="268"/>
      <c r="M28" s="444"/>
      <c r="N28" s="388"/>
      <c r="O28" s="446"/>
      <c r="P28" s="448"/>
    </row>
    <row r="29" spans="2:16" ht="22.5" customHeight="1" x14ac:dyDescent="0.3">
      <c r="B29" s="392"/>
      <c r="C29" s="398"/>
      <c r="D29" s="229"/>
      <c r="E29" s="416"/>
      <c r="F29" s="235"/>
      <c r="G29" s="105">
        <v>6</v>
      </c>
      <c r="H29" s="105"/>
      <c r="I29" s="153"/>
      <c r="J29" s="235"/>
      <c r="K29" s="285"/>
      <c r="L29" s="268"/>
      <c r="M29" s="444"/>
      <c r="N29" s="388"/>
      <c r="O29" s="446"/>
      <c r="P29" s="448"/>
    </row>
    <row r="30" spans="2:16" ht="22.5" customHeight="1" x14ac:dyDescent="0.3">
      <c r="B30" s="392"/>
      <c r="C30" s="398"/>
      <c r="D30" s="229"/>
      <c r="E30" s="416"/>
      <c r="F30" s="235"/>
      <c r="G30" s="105">
        <v>7</v>
      </c>
      <c r="H30" s="105"/>
      <c r="I30" s="153"/>
      <c r="J30" s="235"/>
      <c r="K30" s="285"/>
      <c r="L30" s="268"/>
      <c r="M30" s="444"/>
      <c r="N30" s="388"/>
      <c r="O30" s="446"/>
      <c r="P30" s="448"/>
    </row>
    <row r="31" spans="2:16" ht="22.5" customHeight="1" thickBot="1" x14ac:dyDescent="0.35">
      <c r="B31" s="393"/>
      <c r="C31" s="399"/>
      <c r="D31" s="230"/>
      <c r="E31" s="417"/>
      <c r="F31" s="236"/>
      <c r="G31" s="109">
        <v>8</v>
      </c>
      <c r="H31" s="109"/>
      <c r="I31" s="154"/>
      <c r="J31" s="236"/>
      <c r="K31" s="286"/>
      <c r="L31" s="268"/>
      <c r="M31" s="444"/>
      <c r="N31" s="388"/>
      <c r="O31" s="446"/>
      <c r="P31" s="448"/>
    </row>
    <row r="32" spans="2:16" ht="75" customHeight="1" x14ac:dyDescent="0.3">
      <c r="B32" s="397" t="str">
        <f>+LEFT(C32,3)</f>
        <v>6.3</v>
      </c>
      <c r="C32" s="397" t="s">
        <v>181</v>
      </c>
      <c r="D32" s="228" t="s">
        <v>182</v>
      </c>
      <c r="E32" s="333" t="s">
        <v>554</v>
      </c>
      <c r="F32" s="234">
        <v>3</v>
      </c>
      <c r="G32" s="110">
        <v>1</v>
      </c>
      <c r="H32" s="106" t="s">
        <v>555</v>
      </c>
      <c r="I32" s="150" t="s">
        <v>556</v>
      </c>
      <c r="J32" s="234">
        <v>3</v>
      </c>
      <c r="K32" s="284" t="str">
        <f t="shared" si="1"/>
        <v>Mantenimiento del control</v>
      </c>
      <c r="L32" s="268">
        <f t="shared" ref="L32" si="4">+IF(K32="",75,IF(K32="Deficiencia de control mayor (diseño y ejecución)",80,IF(K32="Deficiencia de control (diseño o ejecución)",100,IF(K32="Oportunidad de mejora",120,140))))</f>
        <v>140</v>
      </c>
      <c r="M32" s="444">
        <v>1.9754</v>
      </c>
      <c r="N32" s="388">
        <f t="shared" ref="N32" si="5">+L32+M32</f>
        <v>141.97540000000001</v>
      </c>
      <c r="O32" s="446"/>
      <c r="P32" s="448"/>
    </row>
    <row r="33" spans="2:16" ht="22.5" customHeight="1" x14ac:dyDescent="0.3">
      <c r="B33" s="398"/>
      <c r="C33" s="398"/>
      <c r="D33" s="229"/>
      <c r="E33" s="416"/>
      <c r="F33" s="235"/>
      <c r="G33" s="105">
        <v>2</v>
      </c>
      <c r="H33" s="105"/>
      <c r="I33" s="153"/>
      <c r="J33" s="235"/>
      <c r="K33" s="285"/>
      <c r="L33" s="268"/>
      <c r="M33" s="444"/>
      <c r="N33" s="388"/>
      <c r="O33" s="446"/>
      <c r="P33" s="448"/>
    </row>
    <row r="34" spans="2:16" ht="22.5" customHeight="1" x14ac:dyDescent="0.3">
      <c r="B34" s="398"/>
      <c r="C34" s="398"/>
      <c r="D34" s="229"/>
      <c r="E34" s="416"/>
      <c r="F34" s="235"/>
      <c r="G34" s="105">
        <v>3</v>
      </c>
      <c r="H34" s="105"/>
      <c r="I34" s="153"/>
      <c r="J34" s="235"/>
      <c r="K34" s="285"/>
      <c r="L34" s="268"/>
      <c r="M34" s="444"/>
      <c r="N34" s="388"/>
      <c r="O34" s="446"/>
      <c r="P34" s="448"/>
    </row>
    <row r="35" spans="2:16" ht="22.5" customHeight="1" x14ac:dyDescent="0.3">
      <c r="B35" s="398"/>
      <c r="C35" s="398"/>
      <c r="D35" s="229"/>
      <c r="E35" s="416"/>
      <c r="F35" s="235"/>
      <c r="G35" s="105">
        <v>4</v>
      </c>
      <c r="H35" s="105"/>
      <c r="I35" s="153"/>
      <c r="J35" s="235"/>
      <c r="K35" s="285"/>
      <c r="L35" s="268"/>
      <c r="M35" s="444"/>
      <c r="N35" s="388"/>
      <c r="O35" s="446"/>
      <c r="P35" s="448"/>
    </row>
    <row r="36" spans="2:16" ht="22.5" customHeight="1" x14ac:dyDescent="0.3">
      <c r="B36" s="398"/>
      <c r="C36" s="398"/>
      <c r="D36" s="229"/>
      <c r="E36" s="416"/>
      <c r="F36" s="235"/>
      <c r="G36" s="105">
        <v>5</v>
      </c>
      <c r="H36" s="105"/>
      <c r="I36" s="153"/>
      <c r="J36" s="235"/>
      <c r="K36" s="285"/>
      <c r="L36" s="268"/>
      <c r="M36" s="444"/>
      <c r="N36" s="388"/>
      <c r="O36" s="446"/>
      <c r="P36" s="448"/>
    </row>
    <row r="37" spans="2:16" ht="22.5" customHeight="1" x14ac:dyDescent="0.3">
      <c r="B37" s="398"/>
      <c r="C37" s="398"/>
      <c r="D37" s="229"/>
      <c r="E37" s="416"/>
      <c r="F37" s="235"/>
      <c r="G37" s="105">
        <v>6</v>
      </c>
      <c r="H37" s="105"/>
      <c r="I37" s="153"/>
      <c r="J37" s="235"/>
      <c r="K37" s="285"/>
      <c r="L37" s="268"/>
      <c r="M37" s="444"/>
      <c r="N37" s="388"/>
      <c r="O37" s="446"/>
      <c r="P37" s="448"/>
    </row>
    <row r="38" spans="2:16" ht="22.5" customHeight="1" x14ac:dyDescent="0.3">
      <c r="B38" s="398"/>
      <c r="C38" s="398"/>
      <c r="D38" s="229"/>
      <c r="E38" s="416"/>
      <c r="F38" s="235"/>
      <c r="G38" s="105">
        <v>7</v>
      </c>
      <c r="H38" s="105"/>
      <c r="I38" s="153"/>
      <c r="J38" s="235"/>
      <c r="K38" s="285"/>
      <c r="L38" s="268"/>
      <c r="M38" s="444"/>
      <c r="N38" s="388"/>
      <c r="O38" s="446"/>
      <c r="P38" s="448"/>
    </row>
    <row r="39" spans="2:16" ht="22.5" customHeight="1" thickBot="1" x14ac:dyDescent="0.35">
      <c r="B39" s="399"/>
      <c r="C39" s="399"/>
      <c r="D39" s="230"/>
      <c r="E39" s="417"/>
      <c r="F39" s="236"/>
      <c r="G39" s="109">
        <v>8</v>
      </c>
      <c r="H39" s="109"/>
      <c r="I39" s="154"/>
      <c r="J39" s="236"/>
      <c r="K39" s="286"/>
      <c r="L39" s="268"/>
      <c r="M39" s="444"/>
      <c r="N39" s="388"/>
      <c r="O39" s="446"/>
      <c r="P39" s="448"/>
    </row>
    <row r="40" spans="2:16" ht="22.5" customHeight="1" x14ac:dyDescent="0.3">
      <c r="B40" s="400"/>
      <c r="C40" s="400" t="s">
        <v>183</v>
      </c>
      <c r="D40" s="414" t="s">
        <v>8</v>
      </c>
      <c r="E40" s="426" t="s">
        <v>174</v>
      </c>
      <c r="F40" s="424" t="s">
        <v>175</v>
      </c>
      <c r="G40" s="430" t="s">
        <v>115</v>
      </c>
      <c r="H40" s="431"/>
      <c r="I40" s="431"/>
      <c r="J40" s="424" t="s">
        <v>176</v>
      </c>
      <c r="K40" s="410" t="s">
        <v>135</v>
      </c>
      <c r="L40" s="442"/>
      <c r="M40" s="442"/>
      <c r="N40" s="389"/>
      <c r="O40" s="445"/>
      <c r="P40" s="447"/>
    </row>
    <row r="41" spans="2:16" ht="22.5" customHeight="1" x14ac:dyDescent="0.3">
      <c r="B41" s="395"/>
      <c r="C41" s="395"/>
      <c r="D41" s="418"/>
      <c r="E41" s="438"/>
      <c r="F41" s="424"/>
      <c r="G41" s="428" t="s">
        <v>13</v>
      </c>
      <c r="H41" s="426" t="s">
        <v>15</v>
      </c>
      <c r="I41" s="426" t="s">
        <v>17</v>
      </c>
      <c r="J41" s="424"/>
      <c r="K41" s="410"/>
      <c r="L41" s="442"/>
      <c r="M41" s="442"/>
      <c r="N41" s="389"/>
      <c r="O41" s="445"/>
      <c r="P41" s="447"/>
    </row>
    <row r="42" spans="2:16" ht="91.5" customHeight="1" thickBot="1" x14ac:dyDescent="0.35">
      <c r="B42" s="396"/>
      <c r="C42" s="396"/>
      <c r="D42" s="419"/>
      <c r="E42" s="439"/>
      <c r="F42" s="425"/>
      <c r="G42" s="429"/>
      <c r="H42" s="427"/>
      <c r="I42" s="427"/>
      <c r="J42" s="425"/>
      <c r="K42" s="411"/>
      <c r="L42" s="442"/>
      <c r="M42" s="442"/>
      <c r="N42" s="389"/>
      <c r="O42" s="445"/>
      <c r="P42" s="447"/>
    </row>
    <row r="43" spans="2:16" ht="72" customHeight="1" x14ac:dyDescent="0.3">
      <c r="B43" s="391" t="str">
        <f>+LEFT(C43,3)</f>
        <v>7.1</v>
      </c>
      <c r="C43" s="420" t="s">
        <v>184</v>
      </c>
      <c r="D43" s="432" t="s">
        <v>178</v>
      </c>
      <c r="E43" s="435" t="s">
        <v>557</v>
      </c>
      <c r="F43" s="234">
        <v>3</v>
      </c>
      <c r="G43" s="110">
        <v>1</v>
      </c>
      <c r="H43" s="106" t="s">
        <v>558</v>
      </c>
      <c r="I43" s="231" t="s">
        <v>559</v>
      </c>
      <c r="J43" s="234">
        <v>3</v>
      </c>
      <c r="K43" s="284" t="str">
        <f t="shared" ref="K43:K75" si="6">+IF(OR(ISBLANK(F43),ISBLANK(J43)),"",IF(OR(AND(F43=1,J43=1),AND(F43=1,J43=2),AND(F43=1,J43=3)),"Deficiencia de control mayor (diseño y ejecución)",IF(OR(AND(F43=2,J43=2),AND(F43=3,J43=1),AND(F43=3,J43=2),AND(F43=2,J43=1)),"Deficiencia de control (diseño o ejecución)",IF(AND(F43=2,J43=3),"Oportunidad de mejora","Mantenimiento del control"))))</f>
        <v>Mantenimiento del control</v>
      </c>
      <c r="L43" s="268">
        <f t="shared" ref="L43:L75" si="7">+IF(K43="",75,IF(K43="Deficiencia de control mayor (diseño y ejecución)",80,IF(K43="Deficiencia de control (diseño o ejecución)",100,IF(K43="Oportunidad de mejora",120,140))))</f>
        <v>140</v>
      </c>
      <c r="M43" s="444">
        <v>2.0895999999999999</v>
      </c>
      <c r="N43" s="388">
        <f>+L43+M43</f>
        <v>142.08959999999999</v>
      </c>
      <c r="O43" s="446"/>
      <c r="P43" s="448"/>
    </row>
    <row r="44" spans="2:16" ht="22.5" customHeight="1" x14ac:dyDescent="0.3">
      <c r="B44" s="392"/>
      <c r="C44" s="421"/>
      <c r="D44" s="433"/>
      <c r="E44" s="436"/>
      <c r="F44" s="235"/>
      <c r="G44" s="105">
        <v>2</v>
      </c>
      <c r="H44" s="105"/>
      <c r="I44" s="232"/>
      <c r="J44" s="235"/>
      <c r="K44" s="285"/>
      <c r="L44" s="268"/>
      <c r="M44" s="444"/>
      <c r="N44" s="388"/>
      <c r="O44" s="446"/>
      <c r="P44" s="448"/>
    </row>
    <row r="45" spans="2:16" ht="22.5" customHeight="1" x14ac:dyDescent="0.3">
      <c r="B45" s="392"/>
      <c r="C45" s="421"/>
      <c r="D45" s="433"/>
      <c r="E45" s="436"/>
      <c r="F45" s="235"/>
      <c r="G45" s="105">
        <v>3</v>
      </c>
      <c r="H45" s="105"/>
      <c r="I45" s="232"/>
      <c r="J45" s="235"/>
      <c r="K45" s="285"/>
      <c r="L45" s="268"/>
      <c r="M45" s="444"/>
      <c r="N45" s="388"/>
      <c r="O45" s="446"/>
      <c r="P45" s="448"/>
    </row>
    <row r="46" spans="2:16" ht="22.5" customHeight="1" x14ac:dyDescent="0.3">
      <c r="B46" s="392"/>
      <c r="C46" s="421"/>
      <c r="D46" s="433"/>
      <c r="E46" s="436"/>
      <c r="F46" s="235"/>
      <c r="G46" s="105">
        <v>4</v>
      </c>
      <c r="H46" s="105"/>
      <c r="I46" s="232"/>
      <c r="J46" s="235"/>
      <c r="K46" s="285"/>
      <c r="L46" s="268"/>
      <c r="M46" s="444"/>
      <c r="N46" s="388"/>
      <c r="O46" s="446"/>
      <c r="P46" s="448"/>
    </row>
    <row r="47" spans="2:16" ht="22.5" customHeight="1" x14ac:dyDescent="0.3">
      <c r="B47" s="392"/>
      <c r="C47" s="421"/>
      <c r="D47" s="433"/>
      <c r="E47" s="436"/>
      <c r="F47" s="235"/>
      <c r="G47" s="105">
        <v>5</v>
      </c>
      <c r="H47" s="105"/>
      <c r="I47" s="232"/>
      <c r="J47" s="235"/>
      <c r="K47" s="285"/>
      <c r="L47" s="268"/>
      <c r="M47" s="444"/>
      <c r="N47" s="388"/>
      <c r="O47" s="446"/>
      <c r="P47" s="448"/>
    </row>
    <row r="48" spans="2:16" ht="22.5" customHeight="1" x14ac:dyDescent="0.3">
      <c r="B48" s="392"/>
      <c r="C48" s="421"/>
      <c r="D48" s="433"/>
      <c r="E48" s="436"/>
      <c r="F48" s="235"/>
      <c r="G48" s="105">
        <v>6</v>
      </c>
      <c r="H48" s="105"/>
      <c r="I48" s="232"/>
      <c r="J48" s="235"/>
      <c r="K48" s="285"/>
      <c r="L48" s="268"/>
      <c r="M48" s="444"/>
      <c r="N48" s="388"/>
      <c r="O48" s="446"/>
      <c r="P48" s="448"/>
    </row>
    <row r="49" spans="2:16" ht="22.5" customHeight="1" x14ac:dyDescent="0.3">
      <c r="B49" s="392"/>
      <c r="C49" s="421"/>
      <c r="D49" s="433"/>
      <c r="E49" s="436"/>
      <c r="F49" s="235"/>
      <c r="G49" s="105">
        <v>7</v>
      </c>
      <c r="H49" s="105"/>
      <c r="I49" s="232"/>
      <c r="J49" s="235"/>
      <c r="K49" s="285"/>
      <c r="L49" s="268"/>
      <c r="M49" s="444"/>
      <c r="N49" s="388"/>
      <c r="O49" s="446"/>
      <c r="P49" s="448"/>
    </row>
    <row r="50" spans="2:16" ht="22.5" customHeight="1" thickBot="1" x14ac:dyDescent="0.35">
      <c r="B50" s="393"/>
      <c r="C50" s="422"/>
      <c r="D50" s="434"/>
      <c r="E50" s="437"/>
      <c r="F50" s="236"/>
      <c r="G50" s="109">
        <v>8</v>
      </c>
      <c r="H50" s="109"/>
      <c r="I50" s="233"/>
      <c r="J50" s="236"/>
      <c r="K50" s="286"/>
      <c r="L50" s="268"/>
      <c r="M50" s="444"/>
      <c r="N50" s="388"/>
      <c r="O50" s="446"/>
      <c r="P50" s="448"/>
    </row>
    <row r="51" spans="2:16" ht="75.95" customHeight="1" x14ac:dyDescent="0.3">
      <c r="B51" s="391" t="str">
        <f>+LEFT(C51,3)</f>
        <v>7.2</v>
      </c>
      <c r="C51" s="397" t="s">
        <v>185</v>
      </c>
      <c r="D51" s="228" t="s">
        <v>186</v>
      </c>
      <c r="E51" s="333" t="s">
        <v>560</v>
      </c>
      <c r="F51" s="234">
        <v>3</v>
      </c>
      <c r="G51" s="110">
        <v>1</v>
      </c>
      <c r="H51" s="106" t="s">
        <v>561</v>
      </c>
      <c r="I51" s="231" t="s">
        <v>563</v>
      </c>
      <c r="J51" s="234">
        <v>3</v>
      </c>
      <c r="K51" s="284" t="str">
        <f t="shared" si="6"/>
        <v>Mantenimiento del control</v>
      </c>
      <c r="L51" s="268">
        <f t="shared" si="7"/>
        <v>140</v>
      </c>
      <c r="M51" s="444">
        <v>2.1456</v>
      </c>
      <c r="N51" s="388">
        <f t="shared" ref="N51:N75" si="8">+L51+M51</f>
        <v>142.1456</v>
      </c>
      <c r="O51" s="446"/>
      <c r="P51" s="448"/>
    </row>
    <row r="52" spans="2:16" ht="26.25" customHeight="1" x14ac:dyDescent="0.3">
      <c r="B52" s="392"/>
      <c r="C52" s="398"/>
      <c r="D52" s="229"/>
      <c r="E52" s="416"/>
      <c r="F52" s="235"/>
      <c r="G52" s="105">
        <v>2</v>
      </c>
      <c r="H52" s="149" t="s">
        <v>562</v>
      </c>
      <c r="I52" s="232"/>
      <c r="J52" s="235"/>
      <c r="K52" s="285"/>
      <c r="L52" s="268"/>
      <c r="M52" s="444"/>
      <c r="N52" s="388"/>
      <c r="O52" s="446"/>
      <c r="P52" s="448"/>
    </row>
    <row r="53" spans="2:16" ht="26.25" customHeight="1" x14ac:dyDescent="0.3">
      <c r="B53" s="392"/>
      <c r="C53" s="398"/>
      <c r="D53" s="229"/>
      <c r="E53" s="416"/>
      <c r="F53" s="235"/>
      <c r="G53" s="105">
        <v>3</v>
      </c>
      <c r="H53" s="105"/>
      <c r="I53" s="232"/>
      <c r="J53" s="235"/>
      <c r="K53" s="285"/>
      <c r="L53" s="268"/>
      <c r="M53" s="444"/>
      <c r="N53" s="388"/>
      <c r="O53" s="446"/>
      <c r="P53" s="448"/>
    </row>
    <row r="54" spans="2:16" ht="26.25" customHeight="1" x14ac:dyDescent="0.3">
      <c r="B54" s="392"/>
      <c r="C54" s="398"/>
      <c r="D54" s="229"/>
      <c r="E54" s="416"/>
      <c r="F54" s="235"/>
      <c r="G54" s="105">
        <v>4</v>
      </c>
      <c r="H54" s="105"/>
      <c r="I54" s="232"/>
      <c r="J54" s="235"/>
      <c r="K54" s="285"/>
      <c r="L54" s="268"/>
      <c r="M54" s="444"/>
      <c r="N54" s="388"/>
      <c r="O54" s="446"/>
      <c r="P54" s="448"/>
    </row>
    <row r="55" spans="2:16" ht="26.25" customHeight="1" x14ac:dyDescent="0.3">
      <c r="B55" s="392"/>
      <c r="C55" s="398"/>
      <c r="D55" s="229"/>
      <c r="E55" s="416"/>
      <c r="F55" s="235"/>
      <c r="G55" s="105">
        <v>5</v>
      </c>
      <c r="H55" s="105"/>
      <c r="I55" s="232"/>
      <c r="J55" s="235"/>
      <c r="K55" s="285"/>
      <c r="L55" s="268"/>
      <c r="M55" s="444"/>
      <c r="N55" s="388"/>
      <c r="O55" s="446"/>
      <c r="P55" s="448"/>
    </row>
    <row r="56" spans="2:16" ht="26.25" customHeight="1" x14ac:dyDescent="0.3">
      <c r="B56" s="392"/>
      <c r="C56" s="398"/>
      <c r="D56" s="229"/>
      <c r="E56" s="416"/>
      <c r="F56" s="235"/>
      <c r="G56" s="105">
        <v>6</v>
      </c>
      <c r="H56" s="105"/>
      <c r="I56" s="232"/>
      <c r="J56" s="235"/>
      <c r="K56" s="285"/>
      <c r="L56" s="268"/>
      <c r="M56" s="444"/>
      <c r="N56" s="388"/>
      <c r="O56" s="446"/>
      <c r="P56" s="448"/>
    </row>
    <row r="57" spans="2:16" ht="26.25" customHeight="1" x14ac:dyDescent="0.3">
      <c r="B57" s="392"/>
      <c r="C57" s="398"/>
      <c r="D57" s="229"/>
      <c r="E57" s="416"/>
      <c r="F57" s="235"/>
      <c r="G57" s="105">
        <v>7</v>
      </c>
      <c r="H57" s="105"/>
      <c r="I57" s="232"/>
      <c r="J57" s="235"/>
      <c r="K57" s="285"/>
      <c r="L57" s="268"/>
      <c r="M57" s="444"/>
      <c r="N57" s="388"/>
      <c r="O57" s="446"/>
      <c r="P57" s="448"/>
    </row>
    <row r="58" spans="2:16" ht="26.25" customHeight="1" thickBot="1" x14ac:dyDescent="0.35">
      <c r="B58" s="393"/>
      <c r="C58" s="399"/>
      <c r="D58" s="230"/>
      <c r="E58" s="417"/>
      <c r="F58" s="236"/>
      <c r="G58" s="109">
        <v>8</v>
      </c>
      <c r="H58" s="109"/>
      <c r="I58" s="233"/>
      <c r="J58" s="236"/>
      <c r="K58" s="286"/>
      <c r="L58" s="268"/>
      <c r="M58" s="444"/>
      <c r="N58" s="388"/>
      <c r="O58" s="446"/>
      <c r="P58" s="448"/>
    </row>
    <row r="59" spans="2:16" ht="68.099999999999994" customHeight="1" x14ac:dyDescent="0.3">
      <c r="B59" s="391" t="str">
        <f>+LEFT(C59,3)</f>
        <v>7.3</v>
      </c>
      <c r="C59" s="397" t="s">
        <v>187</v>
      </c>
      <c r="D59" s="228" t="s">
        <v>186</v>
      </c>
      <c r="E59" s="333" t="s">
        <v>564</v>
      </c>
      <c r="F59" s="234">
        <v>3</v>
      </c>
      <c r="G59" s="110">
        <v>1</v>
      </c>
      <c r="H59" s="106" t="s">
        <v>561</v>
      </c>
      <c r="I59" s="231" t="s">
        <v>565</v>
      </c>
      <c r="J59" s="234">
        <v>3</v>
      </c>
      <c r="K59" s="284" t="str">
        <f t="shared" si="6"/>
        <v>Mantenimiento del control</v>
      </c>
      <c r="L59" s="268">
        <f t="shared" si="7"/>
        <v>140</v>
      </c>
      <c r="M59" s="444">
        <v>2.2364999999999999</v>
      </c>
      <c r="N59" s="388">
        <f t="shared" si="8"/>
        <v>142.23650000000001</v>
      </c>
      <c r="O59" s="446"/>
      <c r="P59" s="448"/>
    </row>
    <row r="60" spans="2:16" ht="27" customHeight="1" x14ac:dyDescent="0.3">
      <c r="B60" s="392"/>
      <c r="C60" s="398"/>
      <c r="D60" s="229"/>
      <c r="E60" s="416"/>
      <c r="F60" s="235"/>
      <c r="G60" s="105">
        <v>2</v>
      </c>
      <c r="H60" s="105"/>
      <c r="I60" s="232"/>
      <c r="J60" s="235"/>
      <c r="K60" s="285"/>
      <c r="L60" s="268"/>
      <c r="M60" s="444"/>
      <c r="N60" s="388"/>
      <c r="O60" s="446"/>
      <c r="P60" s="448"/>
    </row>
    <row r="61" spans="2:16" ht="27" customHeight="1" x14ac:dyDescent="0.3">
      <c r="B61" s="392"/>
      <c r="C61" s="398"/>
      <c r="D61" s="229"/>
      <c r="E61" s="416"/>
      <c r="F61" s="235"/>
      <c r="G61" s="105">
        <v>3</v>
      </c>
      <c r="H61" s="105"/>
      <c r="I61" s="232"/>
      <c r="J61" s="235"/>
      <c r="K61" s="285"/>
      <c r="L61" s="268"/>
      <c r="M61" s="444"/>
      <c r="N61" s="388"/>
      <c r="O61" s="446"/>
      <c r="P61" s="448"/>
    </row>
    <row r="62" spans="2:16" ht="27" customHeight="1" x14ac:dyDescent="0.3">
      <c r="B62" s="392"/>
      <c r="C62" s="398"/>
      <c r="D62" s="229"/>
      <c r="E62" s="416"/>
      <c r="F62" s="235"/>
      <c r="G62" s="105">
        <v>4</v>
      </c>
      <c r="H62" s="105"/>
      <c r="I62" s="232"/>
      <c r="J62" s="235"/>
      <c r="K62" s="285"/>
      <c r="L62" s="268"/>
      <c r="M62" s="444"/>
      <c r="N62" s="388"/>
      <c r="O62" s="446"/>
      <c r="P62" s="448"/>
    </row>
    <row r="63" spans="2:16" ht="27" customHeight="1" x14ac:dyDescent="0.3">
      <c r="B63" s="392"/>
      <c r="C63" s="398"/>
      <c r="D63" s="229"/>
      <c r="E63" s="416"/>
      <c r="F63" s="235"/>
      <c r="G63" s="105">
        <v>5</v>
      </c>
      <c r="H63" s="105"/>
      <c r="I63" s="232"/>
      <c r="J63" s="235"/>
      <c r="K63" s="285"/>
      <c r="L63" s="268"/>
      <c r="M63" s="444"/>
      <c r="N63" s="388"/>
      <c r="O63" s="446"/>
      <c r="P63" s="448"/>
    </row>
    <row r="64" spans="2:16" ht="27" customHeight="1" x14ac:dyDescent="0.3">
      <c r="B64" s="392"/>
      <c r="C64" s="398"/>
      <c r="D64" s="229"/>
      <c r="E64" s="416"/>
      <c r="F64" s="235"/>
      <c r="G64" s="105">
        <v>6</v>
      </c>
      <c r="H64" s="105"/>
      <c r="I64" s="232"/>
      <c r="J64" s="235"/>
      <c r="K64" s="285"/>
      <c r="L64" s="268"/>
      <c r="M64" s="444"/>
      <c r="N64" s="388"/>
      <c r="O64" s="446"/>
      <c r="P64" s="448"/>
    </row>
    <row r="65" spans="2:16" ht="27" customHeight="1" x14ac:dyDescent="0.3">
      <c r="B65" s="392"/>
      <c r="C65" s="398"/>
      <c r="D65" s="229"/>
      <c r="E65" s="416"/>
      <c r="F65" s="235"/>
      <c r="G65" s="105">
        <v>7</v>
      </c>
      <c r="H65" s="105"/>
      <c r="I65" s="232"/>
      <c r="J65" s="235"/>
      <c r="K65" s="285"/>
      <c r="L65" s="268"/>
      <c r="M65" s="444"/>
      <c r="N65" s="388"/>
      <c r="O65" s="446"/>
      <c r="P65" s="448"/>
    </row>
    <row r="66" spans="2:16" ht="27" customHeight="1" thickBot="1" x14ac:dyDescent="0.35">
      <c r="B66" s="393"/>
      <c r="C66" s="399"/>
      <c r="D66" s="230"/>
      <c r="E66" s="417"/>
      <c r="F66" s="236"/>
      <c r="G66" s="109">
        <v>8</v>
      </c>
      <c r="H66" s="109"/>
      <c r="I66" s="233"/>
      <c r="J66" s="236"/>
      <c r="K66" s="286"/>
      <c r="L66" s="268"/>
      <c r="M66" s="444"/>
      <c r="N66" s="388"/>
      <c r="O66" s="446"/>
      <c r="P66" s="448"/>
    </row>
    <row r="67" spans="2:16" ht="55.5" customHeight="1" x14ac:dyDescent="0.3">
      <c r="B67" s="391" t="str">
        <f>+LEFT(C67,3)</f>
        <v>7.4</v>
      </c>
      <c r="C67" s="397" t="s">
        <v>188</v>
      </c>
      <c r="D67" s="228" t="s">
        <v>189</v>
      </c>
      <c r="E67" s="333" t="s">
        <v>566</v>
      </c>
      <c r="F67" s="234">
        <v>3</v>
      </c>
      <c r="G67" s="110">
        <v>1</v>
      </c>
      <c r="H67" s="106" t="s">
        <v>567</v>
      </c>
      <c r="I67" s="449" t="s">
        <v>568</v>
      </c>
      <c r="J67" s="234">
        <v>3</v>
      </c>
      <c r="K67" s="284" t="str">
        <f t="shared" si="6"/>
        <v>Mantenimiento del control</v>
      </c>
      <c r="L67" s="268">
        <f t="shared" si="7"/>
        <v>140</v>
      </c>
      <c r="M67" s="444">
        <v>2.3896000000000002</v>
      </c>
      <c r="N67" s="388">
        <f t="shared" si="8"/>
        <v>142.3896</v>
      </c>
      <c r="O67" s="446"/>
      <c r="P67" s="448"/>
    </row>
    <row r="68" spans="2:16" ht="27" customHeight="1" x14ac:dyDescent="0.3">
      <c r="B68" s="392"/>
      <c r="C68" s="398"/>
      <c r="D68" s="229"/>
      <c r="E68" s="416"/>
      <c r="F68" s="235"/>
      <c r="G68" s="105">
        <v>2</v>
      </c>
      <c r="H68" s="105"/>
      <c r="I68" s="450"/>
      <c r="J68" s="235"/>
      <c r="K68" s="285"/>
      <c r="L68" s="268"/>
      <c r="M68" s="444"/>
      <c r="N68" s="388"/>
      <c r="O68" s="446"/>
      <c r="P68" s="448"/>
    </row>
    <row r="69" spans="2:16" ht="27" customHeight="1" x14ac:dyDescent="0.3">
      <c r="B69" s="392"/>
      <c r="C69" s="398"/>
      <c r="D69" s="229"/>
      <c r="E69" s="416"/>
      <c r="F69" s="235"/>
      <c r="G69" s="105">
        <v>3</v>
      </c>
      <c r="H69" s="105"/>
      <c r="I69" s="450"/>
      <c r="J69" s="235"/>
      <c r="K69" s="285"/>
      <c r="L69" s="268"/>
      <c r="M69" s="444"/>
      <c r="N69" s="388"/>
      <c r="O69" s="446"/>
      <c r="P69" s="448"/>
    </row>
    <row r="70" spans="2:16" ht="27" customHeight="1" x14ac:dyDescent="0.3">
      <c r="B70" s="392"/>
      <c r="C70" s="398"/>
      <c r="D70" s="229"/>
      <c r="E70" s="416"/>
      <c r="F70" s="235"/>
      <c r="G70" s="105">
        <v>4</v>
      </c>
      <c r="H70" s="105"/>
      <c r="I70" s="450"/>
      <c r="J70" s="235"/>
      <c r="K70" s="285"/>
      <c r="L70" s="268"/>
      <c r="M70" s="444"/>
      <c r="N70" s="388"/>
      <c r="O70" s="446"/>
      <c r="P70" s="448"/>
    </row>
    <row r="71" spans="2:16" ht="27" customHeight="1" x14ac:dyDescent="0.3">
      <c r="B71" s="392"/>
      <c r="C71" s="398"/>
      <c r="D71" s="229"/>
      <c r="E71" s="416"/>
      <c r="F71" s="235"/>
      <c r="G71" s="105">
        <v>5</v>
      </c>
      <c r="H71" s="105"/>
      <c r="I71" s="450"/>
      <c r="J71" s="235"/>
      <c r="K71" s="285"/>
      <c r="L71" s="268"/>
      <c r="M71" s="444"/>
      <c r="N71" s="388"/>
      <c r="O71" s="446"/>
      <c r="P71" s="448"/>
    </row>
    <row r="72" spans="2:16" ht="27" customHeight="1" x14ac:dyDescent="0.3">
      <c r="B72" s="392"/>
      <c r="C72" s="398"/>
      <c r="D72" s="229"/>
      <c r="E72" s="416"/>
      <c r="F72" s="235"/>
      <c r="G72" s="105">
        <v>6</v>
      </c>
      <c r="H72" s="105"/>
      <c r="I72" s="450"/>
      <c r="J72" s="235"/>
      <c r="K72" s="285"/>
      <c r="L72" s="268"/>
      <c r="M72" s="444"/>
      <c r="N72" s="388"/>
      <c r="O72" s="446"/>
      <c r="P72" s="448"/>
    </row>
    <row r="73" spans="2:16" ht="27" customHeight="1" x14ac:dyDescent="0.3">
      <c r="B73" s="392"/>
      <c r="C73" s="398"/>
      <c r="D73" s="229"/>
      <c r="E73" s="416"/>
      <c r="F73" s="235"/>
      <c r="G73" s="105">
        <v>7</v>
      </c>
      <c r="H73" s="105"/>
      <c r="I73" s="450"/>
      <c r="J73" s="235"/>
      <c r="K73" s="285"/>
      <c r="L73" s="268"/>
      <c r="M73" s="444"/>
      <c r="N73" s="388"/>
      <c r="O73" s="446"/>
      <c r="P73" s="448"/>
    </row>
    <row r="74" spans="2:16" ht="27" customHeight="1" thickBot="1" x14ac:dyDescent="0.35">
      <c r="B74" s="393"/>
      <c r="C74" s="399"/>
      <c r="D74" s="230"/>
      <c r="E74" s="417"/>
      <c r="F74" s="236"/>
      <c r="G74" s="109">
        <v>8</v>
      </c>
      <c r="H74" s="109"/>
      <c r="I74" s="451"/>
      <c r="J74" s="236"/>
      <c r="K74" s="286"/>
      <c r="L74" s="268"/>
      <c r="M74" s="444"/>
      <c r="N74" s="388"/>
      <c r="O74" s="446"/>
      <c r="P74" s="448"/>
    </row>
    <row r="75" spans="2:16" ht="58.5" customHeight="1" x14ac:dyDescent="0.3">
      <c r="B75" s="391" t="str">
        <f>+LEFT(C75,3)</f>
        <v>7.5</v>
      </c>
      <c r="C75" s="397" t="s">
        <v>190</v>
      </c>
      <c r="D75" s="228" t="s">
        <v>191</v>
      </c>
      <c r="E75" s="333" t="s">
        <v>569</v>
      </c>
      <c r="F75" s="234">
        <v>3</v>
      </c>
      <c r="G75" s="110">
        <v>1</v>
      </c>
      <c r="H75" s="106" t="s">
        <v>571</v>
      </c>
      <c r="I75" s="231" t="s">
        <v>570</v>
      </c>
      <c r="J75" s="234">
        <v>3</v>
      </c>
      <c r="K75" s="284" t="str">
        <f t="shared" si="6"/>
        <v>Mantenimiento del control</v>
      </c>
      <c r="L75" s="268">
        <f t="shared" si="7"/>
        <v>140</v>
      </c>
      <c r="M75" s="444">
        <v>2.4563000000000001</v>
      </c>
      <c r="N75" s="388">
        <f t="shared" si="8"/>
        <v>142.4563</v>
      </c>
      <c r="O75" s="446"/>
      <c r="P75" s="448"/>
    </row>
    <row r="76" spans="2:16" ht="27.75" customHeight="1" x14ac:dyDescent="0.3">
      <c r="B76" s="392"/>
      <c r="C76" s="398"/>
      <c r="D76" s="229"/>
      <c r="E76" s="416"/>
      <c r="F76" s="235"/>
      <c r="G76" s="105">
        <v>2</v>
      </c>
      <c r="H76" s="105"/>
      <c r="I76" s="232"/>
      <c r="J76" s="235"/>
      <c r="K76" s="285"/>
      <c r="L76" s="268"/>
      <c r="M76" s="444"/>
      <c r="N76" s="388"/>
      <c r="O76" s="446"/>
      <c r="P76" s="448"/>
    </row>
    <row r="77" spans="2:16" ht="27.75" customHeight="1" x14ac:dyDescent="0.3">
      <c r="B77" s="392"/>
      <c r="C77" s="398"/>
      <c r="D77" s="229"/>
      <c r="E77" s="416"/>
      <c r="F77" s="235"/>
      <c r="G77" s="105">
        <v>3</v>
      </c>
      <c r="H77" s="105"/>
      <c r="I77" s="232"/>
      <c r="J77" s="235"/>
      <c r="K77" s="285"/>
      <c r="L77" s="268"/>
      <c r="M77" s="444"/>
      <c r="N77" s="388"/>
      <c r="O77" s="446"/>
      <c r="P77" s="448"/>
    </row>
    <row r="78" spans="2:16" ht="27.75" customHeight="1" x14ac:dyDescent="0.3">
      <c r="B78" s="392"/>
      <c r="C78" s="398"/>
      <c r="D78" s="229"/>
      <c r="E78" s="416"/>
      <c r="F78" s="235"/>
      <c r="G78" s="105">
        <v>4</v>
      </c>
      <c r="H78" s="105"/>
      <c r="I78" s="232"/>
      <c r="J78" s="235"/>
      <c r="K78" s="285"/>
      <c r="L78" s="268"/>
      <c r="M78" s="444"/>
      <c r="N78" s="388"/>
      <c r="O78" s="446"/>
      <c r="P78" s="448"/>
    </row>
    <row r="79" spans="2:16" ht="27.75" customHeight="1" x14ac:dyDescent="0.3">
      <c r="B79" s="392"/>
      <c r="C79" s="398"/>
      <c r="D79" s="229"/>
      <c r="E79" s="416"/>
      <c r="F79" s="235"/>
      <c r="G79" s="105">
        <v>5</v>
      </c>
      <c r="H79" s="105"/>
      <c r="I79" s="232"/>
      <c r="J79" s="235"/>
      <c r="K79" s="285"/>
      <c r="L79" s="268"/>
      <c r="M79" s="444"/>
      <c r="N79" s="388"/>
      <c r="O79" s="446"/>
      <c r="P79" s="448"/>
    </row>
    <row r="80" spans="2:16" ht="27.75" customHeight="1" x14ac:dyDescent="0.3">
      <c r="B80" s="392"/>
      <c r="C80" s="398"/>
      <c r="D80" s="229"/>
      <c r="E80" s="416"/>
      <c r="F80" s="235"/>
      <c r="G80" s="105">
        <v>6</v>
      </c>
      <c r="H80" s="105"/>
      <c r="I80" s="232"/>
      <c r="J80" s="235"/>
      <c r="K80" s="285"/>
      <c r="L80" s="268"/>
      <c r="M80" s="444"/>
      <c r="N80" s="388"/>
      <c r="O80" s="446"/>
      <c r="P80" s="448"/>
    </row>
    <row r="81" spans="2:16" ht="27.75" customHeight="1" x14ac:dyDescent="0.3">
      <c r="B81" s="392"/>
      <c r="C81" s="398"/>
      <c r="D81" s="229"/>
      <c r="E81" s="416"/>
      <c r="F81" s="235"/>
      <c r="G81" s="105">
        <v>7</v>
      </c>
      <c r="H81" s="105"/>
      <c r="I81" s="232"/>
      <c r="J81" s="235"/>
      <c r="K81" s="285"/>
      <c r="L81" s="268"/>
      <c r="M81" s="444"/>
      <c r="N81" s="388"/>
      <c r="O81" s="446"/>
      <c r="P81" s="448"/>
    </row>
    <row r="82" spans="2:16" ht="27.75" customHeight="1" thickBot="1" x14ac:dyDescent="0.35">
      <c r="B82" s="393"/>
      <c r="C82" s="399"/>
      <c r="D82" s="230"/>
      <c r="E82" s="417"/>
      <c r="F82" s="236"/>
      <c r="G82" s="109">
        <v>8</v>
      </c>
      <c r="H82" s="109"/>
      <c r="I82" s="233"/>
      <c r="J82" s="236"/>
      <c r="K82" s="286"/>
      <c r="L82" s="268"/>
      <c r="M82" s="444"/>
      <c r="N82" s="388"/>
      <c r="O82" s="446"/>
      <c r="P82" s="448"/>
    </row>
    <row r="83" spans="2:16" ht="22.5" customHeight="1" x14ac:dyDescent="0.3">
      <c r="B83" s="406"/>
      <c r="C83" s="406" t="s">
        <v>192</v>
      </c>
      <c r="D83" s="414" t="s">
        <v>8</v>
      </c>
      <c r="E83" s="426" t="s">
        <v>174</v>
      </c>
      <c r="F83" s="424" t="s">
        <v>175</v>
      </c>
      <c r="G83" s="430" t="s">
        <v>115</v>
      </c>
      <c r="H83" s="431"/>
      <c r="I83" s="431"/>
      <c r="J83" s="424" t="s">
        <v>176</v>
      </c>
      <c r="K83" s="410" t="s">
        <v>135</v>
      </c>
      <c r="L83" s="442"/>
      <c r="M83" s="442"/>
      <c r="N83" s="389"/>
      <c r="O83" s="445"/>
      <c r="P83" s="447"/>
    </row>
    <row r="84" spans="2:16" ht="22.5" customHeight="1" x14ac:dyDescent="0.3">
      <c r="B84" s="407"/>
      <c r="C84" s="407"/>
      <c r="D84" s="418"/>
      <c r="E84" s="438"/>
      <c r="F84" s="424"/>
      <c r="G84" s="428" t="s">
        <v>13</v>
      </c>
      <c r="H84" s="426" t="s">
        <v>15</v>
      </c>
      <c r="I84" s="426" t="s">
        <v>17</v>
      </c>
      <c r="J84" s="424"/>
      <c r="K84" s="410"/>
      <c r="L84" s="442"/>
      <c r="M84" s="442"/>
      <c r="N84" s="389"/>
      <c r="O84" s="445"/>
      <c r="P84" s="447"/>
    </row>
    <row r="85" spans="2:16" ht="72" customHeight="1" thickBot="1" x14ac:dyDescent="0.35">
      <c r="B85" s="408"/>
      <c r="C85" s="408"/>
      <c r="D85" s="419"/>
      <c r="E85" s="439"/>
      <c r="F85" s="425"/>
      <c r="G85" s="429"/>
      <c r="H85" s="427"/>
      <c r="I85" s="427"/>
      <c r="J85" s="425"/>
      <c r="K85" s="411"/>
      <c r="L85" s="442"/>
      <c r="M85" s="442"/>
      <c r="N85" s="389"/>
      <c r="O85" s="445"/>
      <c r="P85" s="447"/>
    </row>
    <row r="86" spans="2:16" ht="54" customHeight="1" x14ac:dyDescent="0.3">
      <c r="B86" s="391" t="str">
        <f>+LEFT(C86,3)</f>
        <v>8.1</v>
      </c>
      <c r="C86" s="397" t="s">
        <v>193</v>
      </c>
      <c r="D86" s="228" t="s">
        <v>178</v>
      </c>
      <c r="E86" s="333" t="s">
        <v>572</v>
      </c>
      <c r="F86" s="234">
        <v>3</v>
      </c>
      <c r="G86" s="110">
        <v>1</v>
      </c>
      <c r="H86" s="106" t="s">
        <v>573</v>
      </c>
      <c r="I86" s="231" t="s">
        <v>595</v>
      </c>
      <c r="J86" s="234">
        <v>3</v>
      </c>
      <c r="K86" s="284" t="str">
        <f t="shared" ref="K86:K110" si="9">+IF(OR(ISBLANK(F86),ISBLANK(J86)),"",IF(OR(AND(F86=1,J86=1),AND(F86=1,J86=2),AND(F86=1,J86=3)),"Deficiencia de control mayor (diseño y ejecución)",IF(OR(AND(F86=2,J86=2),AND(F86=3,J86=1),AND(F86=3,J86=2),AND(F86=2,J86=1)),"Deficiencia de control (diseño o ejecución)",IF(AND(F86=2,J86=3),"Oportunidad de mejora","Mantenimiento del control"))))</f>
        <v>Mantenimiento del control</v>
      </c>
      <c r="L86" s="268">
        <f t="shared" ref="L86:L110" si="10">+IF(K86="",75,IF(K86="Deficiencia de control mayor (diseño y ejecución)",80,IF(K86="Deficiencia de control (diseño o ejecución)",100,IF(K86="Oportunidad de mejora",120,140))))</f>
        <v>140</v>
      </c>
      <c r="M86" s="444">
        <v>2.5457999999999998</v>
      </c>
      <c r="N86" s="388">
        <f t="shared" ref="N86:N110" si="11">+L86+M86</f>
        <v>142.54579999999999</v>
      </c>
      <c r="O86" s="446"/>
      <c r="P86" s="448"/>
    </row>
    <row r="87" spans="2:16" ht="28.5" customHeight="1" x14ac:dyDescent="0.3">
      <c r="B87" s="392"/>
      <c r="C87" s="398"/>
      <c r="D87" s="229"/>
      <c r="E87" s="416"/>
      <c r="F87" s="235"/>
      <c r="G87" s="105">
        <v>2</v>
      </c>
      <c r="H87" s="149" t="s">
        <v>574</v>
      </c>
      <c r="I87" s="232"/>
      <c r="J87" s="235"/>
      <c r="K87" s="285"/>
      <c r="L87" s="268"/>
      <c r="M87" s="444"/>
      <c r="N87" s="388"/>
      <c r="O87" s="446"/>
      <c r="P87" s="448"/>
    </row>
    <row r="88" spans="2:16" ht="28.5" customHeight="1" x14ac:dyDescent="0.3">
      <c r="B88" s="392"/>
      <c r="C88" s="398"/>
      <c r="D88" s="229"/>
      <c r="E88" s="416"/>
      <c r="F88" s="235"/>
      <c r="G88" s="105">
        <v>3</v>
      </c>
      <c r="H88" s="105"/>
      <c r="I88" s="232"/>
      <c r="J88" s="235"/>
      <c r="K88" s="285"/>
      <c r="L88" s="268"/>
      <c r="M88" s="444"/>
      <c r="N88" s="388"/>
      <c r="O88" s="446"/>
      <c r="P88" s="448"/>
    </row>
    <row r="89" spans="2:16" ht="28.5" customHeight="1" x14ac:dyDescent="0.3">
      <c r="B89" s="392"/>
      <c r="C89" s="398"/>
      <c r="D89" s="229"/>
      <c r="E89" s="416"/>
      <c r="F89" s="235"/>
      <c r="G89" s="105">
        <v>4</v>
      </c>
      <c r="H89" s="105"/>
      <c r="I89" s="232"/>
      <c r="J89" s="235"/>
      <c r="K89" s="285"/>
      <c r="L89" s="268"/>
      <c r="M89" s="444"/>
      <c r="N89" s="388"/>
      <c r="O89" s="446"/>
      <c r="P89" s="448"/>
    </row>
    <row r="90" spans="2:16" ht="28.5" customHeight="1" x14ac:dyDescent="0.3">
      <c r="B90" s="392"/>
      <c r="C90" s="398"/>
      <c r="D90" s="229"/>
      <c r="E90" s="416"/>
      <c r="F90" s="235"/>
      <c r="G90" s="105">
        <v>5</v>
      </c>
      <c r="H90" s="105"/>
      <c r="I90" s="232"/>
      <c r="J90" s="235"/>
      <c r="K90" s="285"/>
      <c r="L90" s="268"/>
      <c r="M90" s="444"/>
      <c r="N90" s="388"/>
      <c r="O90" s="446"/>
      <c r="P90" s="448"/>
    </row>
    <row r="91" spans="2:16" ht="28.5" customHeight="1" x14ac:dyDescent="0.3">
      <c r="B91" s="392"/>
      <c r="C91" s="398"/>
      <c r="D91" s="229"/>
      <c r="E91" s="416"/>
      <c r="F91" s="235"/>
      <c r="G91" s="105">
        <v>6</v>
      </c>
      <c r="H91" s="207"/>
      <c r="I91" s="232"/>
      <c r="J91" s="235"/>
      <c r="K91" s="285"/>
      <c r="L91" s="268"/>
      <c r="M91" s="444"/>
      <c r="N91" s="388"/>
      <c r="O91" s="446"/>
      <c r="P91" s="448"/>
    </row>
    <row r="92" spans="2:16" ht="28.5" customHeight="1" x14ac:dyDescent="0.3">
      <c r="B92" s="392"/>
      <c r="C92" s="398"/>
      <c r="D92" s="229"/>
      <c r="E92" s="416"/>
      <c r="F92" s="235"/>
      <c r="G92" s="105">
        <v>7</v>
      </c>
      <c r="H92" s="105"/>
      <c r="I92" s="232"/>
      <c r="J92" s="235"/>
      <c r="K92" s="285"/>
      <c r="L92" s="268"/>
      <c r="M92" s="444"/>
      <c r="N92" s="388"/>
      <c r="O92" s="446"/>
      <c r="P92" s="448"/>
    </row>
    <row r="93" spans="2:16" ht="28.5" customHeight="1" thickBot="1" x14ac:dyDescent="0.35">
      <c r="B93" s="393"/>
      <c r="C93" s="399"/>
      <c r="D93" s="230"/>
      <c r="E93" s="417"/>
      <c r="F93" s="236"/>
      <c r="G93" s="109">
        <v>8</v>
      </c>
      <c r="H93" s="109"/>
      <c r="I93" s="233"/>
      <c r="J93" s="236"/>
      <c r="K93" s="286"/>
      <c r="L93" s="268"/>
      <c r="M93" s="444"/>
      <c r="N93" s="388"/>
      <c r="O93" s="446"/>
      <c r="P93" s="448"/>
    </row>
    <row r="94" spans="2:16" ht="53.25" customHeight="1" x14ac:dyDescent="0.3">
      <c r="B94" s="391" t="str">
        <f>+LEFT(C94,3)</f>
        <v>8.2</v>
      </c>
      <c r="C94" s="397" t="s">
        <v>194</v>
      </c>
      <c r="D94" s="228" t="s">
        <v>195</v>
      </c>
      <c r="E94" s="333" t="s">
        <v>575</v>
      </c>
      <c r="F94" s="234">
        <v>3</v>
      </c>
      <c r="G94" s="110">
        <v>1</v>
      </c>
      <c r="H94" s="106" t="s">
        <v>573</v>
      </c>
      <c r="I94" s="231" t="s">
        <v>694</v>
      </c>
      <c r="J94" s="234">
        <v>3</v>
      </c>
      <c r="K94" s="284" t="str">
        <f t="shared" si="9"/>
        <v>Mantenimiento del control</v>
      </c>
      <c r="L94" s="268">
        <f t="shared" si="10"/>
        <v>140</v>
      </c>
      <c r="M94" s="444">
        <v>2.6320999999999999</v>
      </c>
      <c r="N94" s="388">
        <f t="shared" si="11"/>
        <v>142.63210000000001</v>
      </c>
      <c r="O94" s="446"/>
      <c r="P94" s="448"/>
    </row>
    <row r="95" spans="2:16" ht="28.5" customHeight="1" x14ac:dyDescent="0.3">
      <c r="B95" s="392"/>
      <c r="C95" s="398"/>
      <c r="D95" s="229"/>
      <c r="E95" s="416"/>
      <c r="F95" s="235"/>
      <c r="G95" s="105">
        <v>2</v>
      </c>
      <c r="H95" s="149" t="s">
        <v>577</v>
      </c>
      <c r="I95" s="232"/>
      <c r="J95" s="235"/>
      <c r="K95" s="285"/>
      <c r="L95" s="268"/>
      <c r="M95" s="444"/>
      <c r="N95" s="388"/>
      <c r="O95" s="446"/>
      <c r="P95" s="448"/>
    </row>
    <row r="96" spans="2:16" ht="28.5" customHeight="1" x14ac:dyDescent="0.3">
      <c r="B96" s="392"/>
      <c r="C96" s="398"/>
      <c r="D96" s="229"/>
      <c r="E96" s="416"/>
      <c r="F96" s="235"/>
      <c r="G96" s="105">
        <v>3</v>
      </c>
      <c r="H96" s="149" t="s">
        <v>576</v>
      </c>
      <c r="I96" s="232"/>
      <c r="J96" s="235"/>
      <c r="K96" s="285"/>
      <c r="L96" s="268"/>
      <c r="M96" s="444"/>
      <c r="N96" s="388"/>
      <c r="O96" s="446"/>
      <c r="P96" s="448"/>
    </row>
    <row r="97" spans="2:16" ht="28.5" customHeight="1" x14ac:dyDescent="0.3">
      <c r="B97" s="392"/>
      <c r="C97" s="398"/>
      <c r="D97" s="229"/>
      <c r="E97" s="416"/>
      <c r="F97" s="235"/>
      <c r="G97" s="105">
        <v>4</v>
      </c>
      <c r="H97" s="105"/>
      <c r="I97" s="232"/>
      <c r="J97" s="235"/>
      <c r="K97" s="285"/>
      <c r="L97" s="268"/>
      <c r="M97" s="444"/>
      <c r="N97" s="388"/>
      <c r="O97" s="446"/>
      <c r="P97" s="448"/>
    </row>
    <row r="98" spans="2:16" ht="28.5" customHeight="1" x14ac:dyDescent="0.3">
      <c r="B98" s="392"/>
      <c r="C98" s="398"/>
      <c r="D98" s="229"/>
      <c r="E98" s="416"/>
      <c r="F98" s="235"/>
      <c r="G98" s="105">
        <v>5</v>
      </c>
      <c r="H98" s="105"/>
      <c r="I98" s="232"/>
      <c r="J98" s="235"/>
      <c r="K98" s="285"/>
      <c r="L98" s="268"/>
      <c r="M98" s="444"/>
      <c r="N98" s="388"/>
      <c r="O98" s="446"/>
      <c r="P98" s="448"/>
    </row>
    <row r="99" spans="2:16" ht="28.5" customHeight="1" x14ac:dyDescent="0.3">
      <c r="B99" s="392"/>
      <c r="C99" s="398"/>
      <c r="D99" s="229"/>
      <c r="E99" s="416"/>
      <c r="F99" s="235"/>
      <c r="G99" s="105">
        <v>6</v>
      </c>
      <c r="H99" s="105"/>
      <c r="I99" s="232"/>
      <c r="J99" s="235"/>
      <c r="K99" s="285"/>
      <c r="L99" s="268"/>
      <c r="M99" s="444"/>
      <c r="N99" s="388"/>
      <c r="O99" s="446"/>
      <c r="P99" s="448"/>
    </row>
    <row r="100" spans="2:16" ht="28.5" customHeight="1" x14ac:dyDescent="0.3">
      <c r="B100" s="392"/>
      <c r="C100" s="398"/>
      <c r="D100" s="229"/>
      <c r="E100" s="416"/>
      <c r="F100" s="235"/>
      <c r="G100" s="105">
        <v>7</v>
      </c>
      <c r="H100" s="105"/>
      <c r="I100" s="232"/>
      <c r="J100" s="235"/>
      <c r="K100" s="285"/>
      <c r="L100" s="268"/>
      <c r="M100" s="444"/>
      <c r="N100" s="388"/>
      <c r="O100" s="446"/>
      <c r="P100" s="448"/>
    </row>
    <row r="101" spans="2:16" ht="28.5" customHeight="1" thickBot="1" x14ac:dyDescent="0.35">
      <c r="B101" s="393"/>
      <c r="C101" s="399"/>
      <c r="D101" s="230"/>
      <c r="E101" s="417"/>
      <c r="F101" s="236"/>
      <c r="G101" s="109">
        <v>8</v>
      </c>
      <c r="H101" s="109"/>
      <c r="I101" s="233"/>
      <c r="J101" s="236"/>
      <c r="K101" s="286"/>
      <c r="L101" s="268"/>
      <c r="M101" s="444"/>
      <c r="N101" s="388"/>
      <c r="O101" s="446"/>
      <c r="P101" s="448"/>
    </row>
    <row r="102" spans="2:16" ht="48" customHeight="1" x14ac:dyDescent="0.3">
      <c r="B102" s="391" t="str">
        <f>+LEFT(C102,3)</f>
        <v>8.3</v>
      </c>
      <c r="C102" s="397" t="s">
        <v>196</v>
      </c>
      <c r="D102" s="228" t="s">
        <v>197</v>
      </c>
      <c r="E102" s="333" t="s">
        <v>578</v>
      </c>
      <c r="F102" s="234">
        <v>3</v>
      </c>
      <c r="G102" s="110">
        <v>1</v>
      </c>
      <c r="H102" s="106" t="s">
        <v>579</v>
      </c>
      <c r="I102" s="231" t="s">
        <v>581</v>
      </c>
      <c r="J102" s="234">
        <v>3</v>
      </c>
      <c r="K102" s="284" t="str">
        <f t="shared" si="9"/>
        <v>Mantenimiento del control</v>
      </c>
      <c r="L102" s="268">
        <f t="shared" si="10"/>
        <v>140</v>
      </c>
      <c r="M102" s="444">
        <v>2.7456</v>
      </c>
      <c r="N102" s="388">
        <f t="shared" si="11"/>
        <v>142.7456</v>
      </c>
      <c r="O102" s="446"/>
      <c r="P102" s="448"/>
    </row>
    <row r="103" spans="2:16" ht="28.5" customHeight="1" x14ac:dyDescent="0.3">
      <c r="B103" s="392"/>
      <c r="C103" s="398"/>
      <c r="D103" s="229"/>
      <c r="E103" s="416"/>
      <c r="F103" s="235"/>
      <c r="G103" s="105">
        <v>2</v>
      </c>
      <c r="H103" s="149" t="s">
        <v>580</v>
      </c>
      <c r="I103" s="232"/>
      <c r="J103" s="235"/>
      <c r="K103" s="285"/>
      <c r="L103" s="268"/>
      <c r="M103" s="444"/>
      <c r="N103" s="388"/>
      <c r="O103" s="446"/>
      <c r="P103" s="448"/>
    </row>
    <row r="104" spans="2:16" ht="28.5" customHeight="1" x14ac:dyDescent="0.3">
      <c r="B104" s="392"/>
      <c r="C104" s="398"/>
      <c r="D104" s="229"/>
      <c r="E104" s="416"/>
      <c r="F104" s="235"/>
      <c r="G104" s="105">
        <v>3</v>
      </c>
      <c r="H104" s="105"/>
      <c r="I104" s="232"/>
      <c r="J104" s="235"/>
      <c r="K104" s="285"/>
      <c r="L104" s="268"/>
      <c r="M104" s="444"/>
      <c r="N104" s="388"/>
      <c r="O104" s="446"/>
      <c r="P104" s="448"/>
    </row>
    <row r="105" spans="2:16" ht="28.5" customHeight="1" x14ac:dyDescent="0.3">
      <c r="B105" s="392"/>
      <c r="C105" s="398"/>
      <c r="D105" s="229"/>
      <c r="E105" s="416"/>
      <c r="F105" s="235"/>
      <c r="G105" s="105">
        <v>4</v>
      </c>
      <c r="H105" s="105"/>
      <c r="I105" s="232"/>
      <c r="J105" s="235"/>
      <c r="K105" s="285"/>
      <c r="L105" s="268"/>
      <c r="M105" s="444"/>
      <c r="N105" s="388"/>
      <c r="O105" s="446"/>
      <c r="P105" s="448"/>
    </row>
    <row r="106" spans="2:16" ht="28.5" customHeight="1" x14ac:dyDescent="0.3">
      <c r="B106" s="392"/>
      <c r="C106" s="398"/>
      <c r="D106" s="229"/>
      <c r="E106" s="416"/>
      <c r="F106" s="235"/>
      <c r="G106" s="105">
        <v>5</v>
      </c>
      <c r="H106" s="105"/>
      <c r="I106" s="232"/>
      <c r="J106" s="235"/>
      <c r="K106" s="285"/>
      <c r="L106" s="268"/>
      <c r="M106" s="444"/>
      <c r="N106" s="388"/>
      <c r="O106" s="446"/>
      <c r="P106" s="448"/>
    </row>
    <row r="107" spans="2:16" ht="28.5" customHeight="1" x14ac:dyDescent="0.3">
      <c r="B107" s="392"/>
      <c r="C107" s="398"/>
      <c r="D107" s="229"/>
      <c r="E107" s="416"/>
      <c r="F107" s="235"/>
      <c r="G107" s="105">
        <v>6</v>
      </c>
      <c r="H107" s="105"/>
      <c r="I107" s="232"/>
      <c r="J107" s="235"/>
      <c r="K107" s="285"/>
      <c r="L107" s="268"/>
      <c r="M107" s="444"/>
      <c r="N107" s="388"/>
      <c r="O107" s="446"/>
      <c r="P107" s="448"/>
    </row>
    <row r="108" spans="2:16" ht="28.5" customHeight="1" x14ac:dyDescent="0.3">
      <c r="B108" s="392"/>
      <c r="C108" s="398"/>
      <c r="D108" s="229"/>
      <c r="E108" s="416"/>
      <c r="F108" s="235"/>
      <c r="G108" s="105">
        <v>7</v>
      </c>
      <c r="H108" s="105"/>
      <c r="I108" s="232"/>
      <c r="J108" s="235"/>
      <c r="K108" s="285"/>
      <c r="L108" s="268"/>
      <c r="M108" s="444"/>
      <c r="N108" s="388"/>
      <c r="O108" s="446"/>
      <c r="P108" s="448"/>
    </row>
    <row r="109" spans="2:16" ht="28.5" customHeight="1" thickBot="1" x14ac:dyDescent="0.35">
      <c r="B109" s="393"/>
      <c r="C109" s="399"/>
      <c r="D109" s="230"/>
      <c r="E109" s="417"/>
      <c r="F109" s="236"/>
      <c r="G109" s="109">
        <v>8</v>
      </c>
      <c r="H109" s="109"/>
      <c r="I109" s="233"/>
      <c r="J109" s="236"/>
      <c r="K109" s="286"/>
      <c r="L109" s="268"/>
      <c r="M109" s="444"/>
      <c r="N109" s="388"/>
      <c r="O109" s="446"/>
      <c r="P109" s="448"/>
    </row>
    <row r="110" spans="2:16" ht="51.75" customHeight="1" x14ac:dyDescent="0.3">
      <c r="B110" s="391" t="str">
        <f>+LEFT(C110,3)</f>
        <v>8.4</v>
      </c>
      <c r="C110" s="397" t="s">
        <v>198</v>
      </c>
      <c r="D110" s="228" t="s">
        <v>195</v>
      </c>
      <c r="E110" s="333" t="s">
        <v>464</v>
      </c>
      <c r="F110" s="234">
        <v>3</v>
      </c>
      <c r="G110" s="110">
        <v>1</v>
      </c>
      <c r="H110" s="106" t="s">
        <v>582</v>
      </c>
      <c r="I110" s="231" t="s">
        <v>585</v>
      </c>
      <c r="J110" s="234">
        <v>3</v>
      </c>
      <c r="K110" s="284" t="str">
        <f t="shared" si="9"/>
        <v>Mantenimiento del control</v>
      </c>
      <c r="L110" s="268">
        <f t="shared" si="10"/>
        <v>140</v>
      </c>
      <c r="M110" s="444">
        <v>2.8744999999999998</v>
      </c>
      <c r="N110" s="388">
        <f t="shared" si="11"/>
        <v>142.87450000000001</v>
      </c>
      <c r="O110" s="446"/>
      <c r="P110" s="448"/>
    </row>
    <row r="111" spans="2:16" ht="56.1" customHeight="1" x14ac:dyDescent="0.3">
      <c r="B111" s="392"/>
      <c r="C111" s="398"/>
      <c r="D111" s="229"/>
      <c r="E111" s="416"/>
      <c r="F111" s="235"/>
      <c r="G111" s="105">
        <v>2</v>
      </c>
      <c r="H111" s="149" t="s">
        <v>583</v>
      </c>
      <c r="I111" s="232"/>
      <c r="J111" s="235"/>
      <c r="K111" s="285"/>
      <c r="L111" s="268"/>
      <c r="M111" s="444"/>
      <c r="N111" s="388"/>
      <c r="O111" s="446"/>
      <c r="P111" s="448"/>
    </row>
    <row r="112" spans="2:16" ht="30" customHeight="1" x14ac:dyDescent="0.3">
      <c r="B112" s="392"/>
      <c r="C112" s="398"/>
      <c r="D112" s="229"/>
      <c r="E112" s="416"/>
      <c r="F112" s="235"/>
      <c r="G112" s="105">
        <v>3</v>
      </c>
      <c r="H112" s="149" t="s">
        <v>584</v>
      </c>
      <c r="I112" s="232"/>
      <c r="J112" s="235"/>
      <c r="K112" s="285"/>
      <c r="L112" s="268"/>
      <c r="M112" s="444"/>
      <c r="N112" s="388"/>
      <c r="O112" s="446"/>
      <c r="P112" s="448"/>
    </row>
    <row r="113" spans="2:16" ht="30" customHeight="1" x14ac:dyDescent="0.3">
      <c r="B113" s="392"/>
      <c r="C113" s="398"/>
      <c r="D113" s="229"/>
      <c r="E113" s="416"/>
      <c r="F113" s="235"/>
      <c r="G113" s="105">
        <v>4</v>
      </c>
      <c r="H113" s="105"/>
      <c r="I113" s="232"/>
      <c r="J113" s="235"/>
      <c r="K113" s="285"/>
      <c r="L113" s="268"/>
      <c r="M113" s="444"/>
      <c r="N113" s="388"/>
      <c r="O113" s="446"/>
      <c r="P113" s="448"/>
    </row>
    <row r="114" spans="2:16" ht="30" customHeight="1" x14ac:dyDescent="0.3">
      <c r="B114" s="392"/>
      <c r="C114" s="398"/>
      <c r="D114" s="229"/>
      <c r="E114" s="416"/>
      <c r="F114" s="235"/>
      <c r="G114" s="105">
        <v>5</v>
      </c>
      <c r="H114" s="105"/>
      <c r="I114" s="232"/>
      <c r="J114" s="235"/>
      <c r="K114" s="285"/>
      <c r="L114" s="268"/>
      <c r="M114" s="444"/>
      <c r="N114" s="388"/>
      <c r="O114" s="446"/>
      <c r="P114" s="448"/>
    </row>
    <row r="115" spans="2:16" ht="30" customHeight="1" x14ac:dyDescent="0.3">
      <c r="B115" s="392"/>
      <c r="C115" s="398"/>
      <c r="D115" s="229"/>
      <c r="E115" s="416"/>
      <c r="F115" s="235"/>
      <c r="G115" s="105">
        <v>6</v>
      </c>
      <c r="H115" s="105"/>
      <c r="I115" s="232"/>
      <c r="J115" s="235"/>
      <c r="K115" s="285"/>
      <c r="L115" s="268"/>
      <c r="M115" s="444"/>
      <c r="N115" s="388"/>
      <c r="O115" s="446"/>
      <c r="P115" s="448"/>
    </row>
    <row r="116" spans="2:16" ht="30" customHeight="1" x14ac:dyDescent="0.3">
      <c r="B116" s="392"/>
      <c r="C116" s="398"/>
      <c r="D116" s="229"/>
      <c r="E116" s="416"/>
      <c r="F116" s="235"/>
      <c r="G116" s="105">
        <v>7</v>
      </c>
      <c r="H116" s="105"/>
      <c r="I116" s="232"/>
      <c r="J116" s="235"/>
      <c r="K116" s="285"/>
      <c r="L116" s="268"/>
      <c r="M116" s="444"/>
      <c r="N116" s="388"/>
      <c r="O116" s="446"/>
      <c r="P116" s="448"/>
    </row>
    <row r="117" spans="2:16" ht="30" customHeight="1" thickBot="1" x14ac:dyDescent="0.35">
      <c r="B117" s="393"/>
      <c r="C117" s="399"/>
      <c r="D117" s="230"/>
      <c r="E117" s="417"/>
      <c r="F117" s="236"/>
      <c r="G117" s="109">
        <v>8</v>
      </c>
      <c r="H117" s="109"/>
      <c r="I117" s="233"/>
      <c r="J117" s="236"/>
      <c r="K117" s="286"/>
      <c r="L117" s="268"/>
      <c r="M117" s="444"/>
      <c r="N117" s="388"/>
      <c r="O117" s="446"/>
      <c r="P117" s="448"/>
    </row>
    <row r="118" spans="2:16" ht="22.5" customHeight="1" x14ac:dyDescent="0.3">
      <c r="B118" s="395"/>
      <c r="C118" s="395" t="s">
        <v>199</v>
      </c>
      <c r="D118" s="414" t="s">
        <v>8</v>
      </c>
      <c r="E118" s="426" t="s">
        <v>174</v>
      </c>
      <c r="F118" s="424" t="s">
        <v>175</v>
      </c>
      <c r="G118" s="430" t="s">
        <v>115</v>
      </c>
      <c r="H118" s="431"/>
      <c r="I118" s="431"/>
      <c r="J118" s="424" t="s">
        <v>176</v>
      </c>
      <c r="K118" s="410" t="s">
        <v>135</v>
      </c>
      <c r="L118" s="442"/>
      <c r="M118" s="442"/>
      <c r="N118" s="389"/>
      <c r="O118" s="445"/>
      <c r="P118" s="447"/>
    </row>
    <row r="119" spans="2:16" ht="22.5" customHeight="1" x14ac:dyDescent="0.3">
      <c r="B119" s="395"/>
      <c r="C119" s="395"/>
      <c r="D119" s="418"/>
      <c r="E119" s="438"/>
      <c r="F119" s="424"/>
      <c r="G119" s="428" t="s">
        <v>13</v>
      </c>
      <c r="H119" s="426" t="s">
        <v>15</v>
      </c>
      <c r="I119" s="426" t="s">
        <v>17</v>
      </c>
      <c r="J119" s="424"/>
      <c r="K119" s="410"/>
      <c r="L119" s="442"/>
      <c r="M119" s="442"/>
      <c r="N119" s="389"/>
      <c r="O119" s="445"/>
      <c r="P119" s="447"/>
    </row>
    <row r="120" spans="2:16" ht="78.75" customHeight="1" thickBot="1" x14ac:dyDescent="0.35">
      <c r="B120" s="396"/>
      <c r="C120" s="396"/>
      <c r="D120" s="419"/>
      <c r="E120" s="439"/>
      <c r="F120" s="425"/>
      <c r="G120" s="429"/>
      <c r="H120" s="427"/>
      <c r="I120" s="427"/>
      <c r="J120" s="425"/>
      <c r="K120" s="411"/>
      <c r="L120" s="442"/>
      <c r="M120" s="442"/>
      <c r="N120" s="389"/>
      <c r="O120" s="445"/>
      <c r="P120" s="447"/>
    </row>
    <row r="121" spans="2:16" ht="49.5" x14ac:dyDescent="0.3">
      <c r="B121" s="391" t="str">
        <f>+LEFT(C121,3)</f>
        <v>9.1</v>
      </c>
      <c r="C121" s="397" t="s">
        <v>200</v>
      </c>
      <c r="D121" s="228" t="s">
        <v>201</v>
      </c>
      <c r="E121" s="333" t="s">
        <v>586</v>
      </c>
      <c r="F121" s="234">
        <v>3</v>
      </c>
      <c r="G121" s="110">
        <v>1</v>
      </c>
      <c r="H121" s="106" t="s">
        <v>461</v>
      </c>
      <c r="I121" s="231" t="s">
        <v>588</v>
      </c>
      <c r="J121" s="234">
        <v>3</v>
      </c>
      <c r="K121" s="284" t="str">
        <f t="shared" ref="K121:K153" si="12">+IF(OR(ISBLANK(F121),ISBLANK(J121)),"",IF(OR(AND(F121=1,J121=1),AND(F121=1,J121=2),AND(F121=1,J121=3)),"Deficiencia de control mayor (diseño y ejecución)",IF(OR(AND(F121=2,J121=2),AND(F121=3,J121=1),AND(F121=3,J121=2),AND(F121=2,J121=1)),"Deficiencia de control (diseño o ejecución)",IF(AND(F121=2,J121=3),"Oportunidad de mejora","Mantenimiento del control"))))</f>
        <v>Mantenimiento del control</v>
      </c>
      <c r="L121" s="268">
        <f t="shared" ref="L121:L153" si="13">+IF(K121="",75,IF(K121="Deficiencia de control mayor (diseño y ejecución)",80,IF(K121="Deficiencia de control (diseño o ejecución)",100,IF(K121="Oportunidad de mejora",120,140))))</f>
        <v>140</v>
      </c>
      <c r="M121" s="444">
        <v>2.9634999999999998</v>
      </c>
      <c r="N121" s="388">
        <f t="shared" ref="N121:N153" si="14">+L121+M121</f>
        <v>142.96350000000001</v>
      </c>
      <c r="O121" s="446"/>
      <c r="P121" s="448"/>
    </row>
    <row r="122" spans="2:16" ht="49.5" x14ac:dyDescent="0.3">
      <c r="B122" s="392"/>
      <c r="C122" s="398"/>
      <c r="D122" s="229"/>
      <c r="E122" s="416"/>
      <c r="F122" s="235"/>
      <c r="G122" s="105">
        <v>2</v>
      </c>
      <c r="H122" s="149" t="s">
        <v>587</v>
      </c>
      <c r="I122" s="232"/>
      <c r="J122" s="235"/>
      <c r="K122" s="285"/>
      <c r="L122" s="268"/>
      <c r="M122" s="444"/>
      <c r="N122" s="388"/>
      <c r="O122" s="446"/>
      <c r="P122" s="448"/>
    </row>
    <row r="123" spans="2:16" ht="16.5" customHeight="1" x14ac:dyDescent="0.3">
      <c r="B123" s="392"/>
      <c r="C123" s="398"/>
      <c r="D123" s="229"/>
      <c r="E123" s="416"/>
      <c r="F123" s="235"/>
      <c r="G123" s="105">
        <v>3</v>
      </c>
      <c r="H123" s="105"/>
      <c r="I123" s="232"/>
      <c r="J123" s="235"/>
      <c r="K123" s="285"/>
      <c r="L123" s="268"/>
      <c r="M123" s="444"/>
      <c r="N123" s="388"/>
      <c r="O123" s="446"/>
      <c r="P123" s="448"/>
    </row>
    <row r="124" spans="2:16" ht="16.5" x14ac:dyDescent="0.3">
      <c r="B124" s="392"/>
      <c r="C124" s="398"/>
      <c r="D124" s="229"/>
      <c r="E124" s="416"/>
      <c r="F124" s="235"/>
      <c r="G124" s="105">
        <v>4</v>
      </c>
      <c r="H124" s="105"/>
      <c r="I124" s="232"/>
      <c r="J124" s="235"/>
      <c r="K124" s="285"/>
      <c r="L124" s="268"/>
      <c r="M124" s="444"/>
      <c r="N124" s="388"/>
      <c r="O124" s="446"/>
      <c r="P124" s="448"/>
    </row>
    <row r="125" spans="2:16" ht="16.5" x14ac:dyDescent="0.3">
      <c r="B125" s="392"/>
      <c r="C125" s="398"/>
      <c r="D125" s="229"/>
      <c r="E125" s="416"/>
      <c r="F125" s="235"/>
      <c r="G125" s="105">
        <v>5</v>
      </c>
      <c r="H125" s="105"/>
      <c r="I125" s="232"/>
      <c r="J125" s="235"/>
      <c r="K125" s="285"/>
      <c r="L125" s="268"/>
      <c r="M125" s="444"/>
      <c r="N125" s="388"/>
      <c r="O125" s="446"/>
      <c r="P125" s="448"/>
    </row>
    <row r="126" spans="2:16" ht="16.5" x14ac:dyDescent="0.3">
      <c r="B126" s="392"/>
      <c r="C126" s="398"/>
      <c r="D126" s="229"/>
      <c r="E126" s="416"/>
      <c r="F126" s="235"/>
      <c r="G126" s="105">
        <v>6</v>
      </c>
      <c r="H126" s="105"/>
      <c r="I126" s="232"/>
      <c r="J126" s="235"/>
      <c r="K126" s="285"/>
      <c r="L126" s="268"/>
      <c r="M126" s="444"/>
      <c r="N126" s="388"/>
      <c r="O126" s="446"/>
      <c r="P126" s="448"/>
    </row>
    <row r="127" spans="2:16" ht="16.5" x14ac:dyDescent="0.3">
      <c r="B127" s="392"/>
      <c r="C127" s="398"/>
      <c r="D127" s="229"/>
      <c r="E127" s="416"/>
      <c r="F127" s="235"/>
      <c r="G127" s="105">
        <v>7</v>
      </c>
      <c r="H127" s="105"/>
      <c r="I127" s="232"/>
      <c r="J127" s="235"/>
      <c r="K127" s="285"/>
      <c r="L127" s="268"/>
      <c r="M127" s="444"/>
      <c r="N127" s="388"/>
      <c r="O127" s="446"/>
      <c r="P127" s="448"/>
    </row>
    <row r="128" spans="2:16" ht="17.25" thickBot="1" x14ac:dyDescent="0.35">
      <c r="B128" s="393"/>
      <c r="C128" s="399"/>
      <c r="D128" s="230"/>
      <c r="E128" s="417"/>
      <c r="F128" s="236"/>
      <c r="G128" s="109">
        <v>8</v>
      </c>
      <c r="H128" s="109"/>
      <c r="I128" s="233"/>
      <c r="J128" s="236"/>
      <c r="K128" s="286"/>
      <c r="L128" s="268"/>
      <c r="M128" s="444"/>
      <c r="N128" s="388"/>
      <c r="O128" s="446"/>
      <c r="P128" s="448"/>
    </row>
    <row r="129" spans="2:16" ht="54" customHeight="1" x14ac:dyDescent="0.3">
      <c r="B129" s="391" t="str">
        <f>+LEFT(C129,3)</f>
        <v>9.2</v>
      </c>
      <c r="C129" s="420" t="s">
        <v>202</v>
      </c>
      <c r="D129" s="228" t="s">
        <v>203</v>
      </c>
      <c r="E129" s="333" t="s">
        <v>589</v>
      </c>
      <c r="F129" s="234">
        <v>3</v>
      </c>
      <c r="G129" s="110">
        <v>1</v>
      </c>
      <c r="H129" s="106" t="s">
        <v>590</v>
      </c>
      <c r="I129" s="231" t="s">
        <v>591</v>
      </c>
      <c r="J129" s="234">
        <v>3</v>
      </c>
      <c r="K129" s="284" t="str">
        <f t="shared" si="12"/>
        <v>Mantenimiento del control</v>
      </c>
      <c r="L129" s="268">
        <f t="shared" si="13"/>
        <v>140</v>
      </c>
      <c r="M129" s="444">
        <v>3.0125000000000002</v>
      </c>
      <c r="N129" s="388">
        <f t="shared" si="14"/>
        <v>143.01249999999999</v>
      </c>
      <c r="O129" s="446"/>
      <c r="P129" s="448"/>
    </row>
    <row r="130" spans="2:16" ht="56.1" customHeight="1" x14ac:dyDescent="0.3">
      <c r="B130" s="392"/>
      <c r="C130" s="421"/>
      <c r="D130" s="229"/>
      <c r="E130" s="416"/>
      <c r="F130" s="235"/>
      <c r="G130" s="105">
        <v>2</v>
      </c>
      <c r="H130" s="149" t="s">
        <v>594</v>
      </c>
      <c r="I130" s="232"/>
      <c r="J130" s="235"/>
      <c r="K130" s="285"/>
      <c r="L130" s="268"/>
      <c r="M130" s="444"/>
      <c r="N130" s="388"/>
      <c r="O130" s="446"/>
      <c r="P130" s="448"/>
    </row>
    <row r="131" spans="2:16" ht="22.5" customHeight="1" x14ac:dyDescent="0.3">
      <c r="B131" s="392"/>
      <c r="C131" s="421"/>
      <c r="D131" s="229"/>
      <c r="E131" s="416"/>
      <c r="F131" s="235"/>
      <c r="G131" s="105">
        <v>3</v>
      </c>
      <c r="H131" s="105"/>
      <c r="I131" s="232"/>
      <c r="J131" s="235"/>
      <c r="K131" s="285"/>
      <c r="L131" s="268"/>
      <c r="M131" s="444"/>
      <c r="N131" s="388"/>
      <c r="O131" s="446"/>
      <c r="P131" s="448"/>
    </row>
    <row r="132" spans="2:16" ht="22.5" customHeight="1" x14ac:dyDescent="0.3">
      <c r="B132" s="392"/>
      <c r="C132" s="421"/>
      <c r="D132" s="229"/>
      <c r="E132" s="416"/>
      <c r="F132" s="235"/>
      <c r="G132" s="105">
        <v>4</v>
      </c>
      <c r="H132" s="105"/>
      <c r="I132" s="232"/>
      <c r="J132" s="235"/>
      <c r="K132" s="285"/>
      <c r="L132" s="268"/>
      <c r="M132" s="444"/>
      <c r="N132" s="388"/>
      <c r="O132" s="446"/>
      <c r="P132" s="448"/>
    </row>
    <row r="133" spans="2:16" ht="22.5" customHeight="1" x14ac:dyDescent="0.3">
      <c r="B133" s="392"/>
      <c r="C133" s="421"/>
      <c r="D133" s="229"/>
      <c r="E133" s="416"/>
      <c r="F133" s="235"/>
      <c r="G133" s="105">
        <v>5</v>
      </c>
      <c r="H133" s="105"/>
      <c r="I133" s="232"/>
      <c r="J133" s="235"/>
      <c r="K133" s="285"/>
      <c r="L133" s="268"/>
      <c r="M133" s="444"/>
      <c r="N133" s="388"/>
      <c r="O133" s="446"/>
      <c r="P133" s="448"/>
    </row>
    <row r="134" spans="2:16" ht="22.5" customHeight="1" x14ac:dyDescent="0.3">
      <c r="B134" s="392"/>
      <c r="C134" s="421"/>
      <c r="D134" s="229"/>
      <c r="E134" s="416"/>
      <c r="F134" s="235"/>
      <c r="G134" s="105">
        <v>6</v>
      </c>
      <c r="H134" s="105"/>
      <c r="I134" s="232"/>
      <c r="J134" s="235"/>
      <c r="K134" s="285"/>
      <c r="L134" s="268"/>
      <c r="M134" s="444"/>
      <c r="N134" s="388"/>
      <c r="O134" s="446"/>
      <c r="P134" s="448"/>
    </row>
    <row r="135" spans="2:16" ht="22.5" customHeight="1" x14ac:dyDescent="0.3">
      <c r="B135" s="392"/>
      <c r="C135" s="421"/>
      <c r="D135" s="229"/>
      <c r="E135" s="416"/>
      <c r="F135" s="235"/>
      <c r="G135" s="105">
        <v>7</v>
      </c>
      <c r="H135" s="105"/>
      <c r="I135" s="232"/>
      <c r="J135" s="235"/>
      <c r="K135" s="285"/>
      <c r="L135" s="268"/>
      <c r="M135" s="444"/>
      <c r="N135" s="388"/>
      <c r="O135" s="446"/>
      <c r="P135" s="448"/>
    </row>
    <row r="136" spans="2:16" ht="22.5" customHeight="1" thickBot="1" x14ac:dyDescent="0.35">
      <c r="B136" s="393"/>
      <c r="C136" s="422"/>
      <c r="D136" s="230"/>
      <c r="E136" s="417"/>
      <c r="F136" s="236"/>
      <c r="G136" s="109">
        <v>8</v>
      </c>
      <c r="H136" s="109"/>
      <c r="I136" s="233"/>
      <c r="J136" s="236"/>
      <c r="K136" s="286"/>
      <c r="L136" s="268"/>
      <c r="M136" s="444"/>
      <c r="N136" s="388"/>
      <c r="O136" s="446"/>
      <c r="P136" s="448"/>
    </row>
    <row r="137" spans="2:16" ht="60" customHeight="1" x14ac:dyDescent="0.3">
      <c r="B137" s="391" t="str">
        <f>+LEFT(C137,3)</f>
        <v>9.3</v>
      </c>
      <c r="C137" s="420" t="s">
        <v>204</v>
      </c>
      <c r="D137" s="423" t="s">
        <v>195</v>
      </c>
      <c r="E137" s="333" t="s">
        <v>592</v>
      </c>
      <c r="F137" s="234">
        <v>3</v>
      </c>
      <c r="G137" s="110">
        <v>1</v>
      </c>
      <c r="H137" s="106" t="s">
        <v>461</v>
      </c>
      <c r="I137" s="231" t="s">
        <v>596</v>
      </c>
      <c r="J137" s="234">
        <v>3</v>
      </c>
      <c r="K137" s="284" t="str">
        <f t="shared" si="12"/>
        <v>Mantenimiento del control</v>
      </c>
      <c r="L137" s="268">
        <f t="shared" si="13"/>
        <v>140</v>
      </c>
      <c r="M137" s="444">
        <v>3.1236000000000002</v>
      </c>
      <c r="N137" s="388">
        <f t="shared" si="14"/>
        <v>143.12360000000001</v>
      </c>
      <c r="O137" s="446"/>
      <c r="P137" s="448"/>
    </row>
    <row r="138" spans="2:16" ht="78.95" customHeight="1" x14ac:dyDescent="0.3">
      <c r="B138" s="392"/>
      <c r="C138" s="421"/>
      <c r="D138" s="229"/>
      <c r="E138" s="416"/>
      <c r="F138" s="235"/>
      <c r="G138" s="105">
        <v>2</v>
      </c>
      <c r="H138" s="149" t="s">
        <v>593</v>
      </c>
      <c r="I138" s="232"/>
      <c r="J138" s="235"/>
      <c r="K138" s="285"/>
      <c r="L138" s="268"/>
      <c r="M138" s="444"/>
      <c r="N138" s="388"/>
      <c r="O138" s="446"/>
      <c r="P138" s="448"/>
    </row>
    <row r="139" spans="2:16" ht="22.5" customHeight="1" x14ac:dyDescent="0.3">
      <c r="B139" s="392"/>
      <c r="C139" s="421"/>
      <c r="D139" s="229"/>
      <c r="E139" s="416"/>
      <c r="F139" s="235"/>
      <c r="G139" s="105">
        <v>3</v>
      </c>
      <c r="H139" s="105"/>
      <c r="I139" s="232"/>
      <c r="J139" s="235"/>
      <c r="K139" s="285"/>
      <c r="L139" s="268"/>
      <c r="M139" s="444"/>
      <c r="N139" s="388"/>
      <c r="O139" s="446"/>
      <c r="P139" s="448"/>
    </row>
    <row r="140" spans="2:16" ht="22.5" customHeight="1" x14ac:dyDescent="0.3">
      <c r="B140" s="392"/>
      <c r="C140" s="421"/>
      <c r="D140" s="229"/>
      <c r="E140" s="416"/>
      <c r="F140" s="235"/>
      <c r="G140" s="105">
        <v>4</v>
      </c>
      <c r="H140" s="105"/>
      <c r="I140" s="232"/>
      <c r="J140" s="235"/>
      <c r="K140" s="285"/>
      <c r="L140" s="268"/>
      <c r="M140" s="444"/>
      <c r="N140" s="388"/>
      <c r="O140" s="446"/>
      <c r="P140" s="448"/>
    </row>
    <row r="141" spans="2:16" ht="22.5" customHeight="1" x14ac:dyDescent="0.3">
      <c r="B141" s="392"/>
      <c r="C141" s="421"/>
      <c r="D141" s="229"/>
      <c r="E141" s="416"/>
      <c r="F141" s="235"/>
      <c r="G141" s="105">
        <v>5</v>
      </c>
      <c r="H141" s="105"/>
      <c r="I141" s="232"/>
      <c r="J141" s="235"/>
      <c r="K141" s="285"/>
      <c r="L141" s="268"/>
      <c r="M141" s="444"/>
      <c r="N141" s="388"/>
      <c r="O141" s="446"/>
      <c r="P141" s="448"/>
    </row>
    <row r="142" spans="2:16" ht="22.5" customHeight="1" x14ac:dyDescent="0.3">
      <c r="B142" s="392"/>
      <c r="C142" s="421"/>
      <c r="D142" s="229"/>
      <c r="E142" s="416"/>
      <c r="F142" s="235"/>
      <c r="G142" s="105">
        <v>6</v>
      </c>
      <c r="H142" s="105"/>
      <c r="I142" s="232"/>
      <c r="J142" s="235"/>
      <c r="K142" s="285"/>
      <c r="L142" s="268"/>
      <c r="M142" s="444"/>
      <c r="N142" s="388"/>
      <c r="O142" s="446"/>
      <c r="P142" s="448"/>
    </row>
    <row r="143" spans="2:16" ht="22.5" customHeight="1" x14ac:dyDescent="0.3">
      <c r="B143" s="392"/>
      <c r="C143" s="421"/>
      <c r="D143" s="229"/>
      <c r="E143" s="416"/>
      <c r="F143" s="235"/>
      <c r="G143" s="105">
        <v>7</v>
      </c>
      <c r="H143" s="105"/>
      <c r="I143" s="232"/>
      <c r="J143" s="235"/>
      <c r="K143" s="285"/>
      <c r="L143" s="268"/>
      <c r="M143" s="444"/>
      <c r="N143" s="388"/>
      <c r="O143" s="446"/>
      <c r="P143" s="448"/>
    </row>
    <row r="144" spans="2:16" ht="22.5" customHeight="1" thickBot="1" x14ac:dyDescent="0.35">
      <c r="B144" s="393"/>
      <c r="C144" s="422"/>
      <c r="D144" s="230"/>
      <c r="E144" s="417"/>
      <c r="F144" s="236"/>
      <c r="G144" s="109">
        <v>8</v>
      </c>
      <c r="H144" s="109"/>
      <c r="I144" s="233"/>
      <c r="J144" s="236"/>
      <c r="K144" s="286"/>
      <c r="L144" s="268"/>
      <c r="M144" s="444"/>
      <c r="N144" s="388"/>
      <c r="O144" s="446"/>
      <c r="P144" s="448"/>
    </row>
    <row r="145" spans="2:16" ht="48" customHeight="1" x14ac:dyDescent="0.3">
      <c r="B145" s="391" t="str">
        <f>+LEFT(C145,3)</f>
        <v>9.4</v>
      </c>
      <c r="C145" s="420" t="s">
        <v>205</v>
      </c>
      <c r="D145" s="423" t="s">
        <v>203</v>
      </c>
      <c r="E145" s="333" t="s">
        <v>597</v>
      </c>
      <c r="F145" s="234">
        <v>3</v>
      </c>
      <c r="G145" s="110">
        <v>1</v>
      </c>
      <c r="H145" s="106" t="s">
        <v>598</v>
      </c>
      <c r="I145" s="231" t="s">
        <v>599</v>
      </c>
      <c r="J145" s="234">
        <v>3</v>
      </c>
      <c r="K145" s="284" t="str">
        <f t="shared" si="12"/>
        <v>Mantenimiento del control</v>
      </c>
      <c r="L145" s="268">
        <f t="shared" si="13"/>
        <v>140</v>
      </c>
      <c r="M145" s="444">
        <v>3.2456</v>
      </c>
      <c r="N145" s="388">
        <f t="shared" si="14"/>
        <v>143.2456</v>
      </c>
      <c r="O145" s="446"/>
      <c r="P145" s="448"/>
    </row>
    <row r="146" spans="2:16" ht="22.5" customHeight="1" x14ac:dyDescent="0.3">
      <c r="B146" s="392"/>
      <c r="C146" s="421"/>
      <c r="D146" s="229"/>
      <c r="E146" s="416"/>
      <c r="F146" s="235"/>
      <c r="G146" s="105">
        <v>2</v>
      </c>
      <c r="H146" s="105"/>
      <c r="I146" s="232"/>
      <c r="J146" s="235"/>
      <c r="K146" s="285"/>
      <c r="L146" s="268"/>
      <c r="M146" s="444"/>
      <c r="N146" s="388"/>
      <c r="O146" s="446"/>
      <c r="P146" s="448"/>
    </row>
    <row r="147" spans="2:16" ht="22.5" customHeight="1" x14ac:dyDescent="0.3">
      <c r="B147" s="392"/>
      <c r="C147" s="421"/>
      <c r="D147" s="229"/>
      <c r="E147" s="416"/>
      <c r="F147" s="235"/>
      <c r="G147" s="105">
        <v>3</v>
      </c>
      <c r="H147" s="105"/>
      <c r="I147" s="232"/>
      <c r="J147" s="235"/>
      <c r="K147" s="285"/>
      <c r="L147" s="268"/>
      <c r="M147" s="444"/>
      <c r="N147" s="388"/>
      <c r="O147" s="446"/>
      <c r="P147" s="448"/>
    </row>
    <row r="148" spans="2:16" ht="22.5" customHeight="1" x14ac:dyDescent="0.3">
      <c r="B148" s="392"/>
      <c r="C148" s="421"/>
      <c r="D148" s="229"/>
      <c r="E148" s="416"/>
      <c r="F148" s="235"/>
      <c r="G148" s="105">
        <v>4</v>
      </c>
      <c r="H148" s="105"/>
      <c r="I148" s="232"/>
      <c r="J148" s="235"/>
      <c r="K148" s="285"/>
      <c r="L148" s="268"/>
      <c r="M148" s="444"/>
      <c r="N148" s="388"/>
      <c r="O148" s="446"/>
      <c r="P148" s="448"/>
    </row>
    <row r="149" spans="2:16" ht="22.5" customHeight="1" x14ac:dyDescent="0.3">
      <c r="B149" s="392"/>
      <c r="C149" s="421"/>
      <c r="D149" s="229"/>
      <c r="E149" s="416"/>
      <c r="F149" s="235"/>
      <c r="G149" s="105">
        <v>5</v>
      </c>
      <c r="H149" s="105"/>
      <c r="I149" s="232"/>
      <c r="J149" s="235"/>
      <c r="K149" s="285"/>
      <c r="L149" s="268"/>
      <c r="M149" s="444"/>
      <c r="N149" s="388"/>
      <c r="O149" s="446"/>
      <c r="P149" s="448"/>
    </row>
    <row r="150" spans="2:16" ht="22.5" customHeight="1" x14ac:dyDescent="0.3">
      <c r="B150" s="392"/>
      <c r="C150" s="421"/>
      <c r="D150" s="229"/>
      <c r="E150" s="416"/>
      <c r="F150" s="235"/>
      <c r="G150" s="105">
        <v>6</v>
      </c>
      <c r="H150" s="105"/>
      <c r="I150" s="232"/>
      <c r="J150" s="235"/>
      <c r="K150" s="285"/>
      <c r="L150" s="268"/>
      <c r="M150" s="444"/>
      <c r="N150" s="388"/>
      <c r="O150" s="446"/>
      <c r="P150" s="448"/>
    </row>
    <row r="151" spans="2:16" ht="22.5" customHeight="1" x14ac:dyDescent="0.3">
      <c r="B151" s="392"/>
      <c r="C151" s="421"/>
      <c r="D151" s="229"/>
      <c r="E151" s="416"/>
      <c r="F151" s="235"/>
      <c r="G151" s="105">
        <v>7</v>
      </c>
      <c r="H151" s="105"/>
      <c r="I151" s="232"/>
      <c r="J151" s="235"/>
      <c r="K151" s="285"/>
      <c r="L151" s="268"/>
      <c r="M151" s="444"/>
      <c r="N151" s="388"/>
      <c r="O151" s="446"/>
      <c r="P151" s="448"/>
    </row>
    <row r="152" spans="2:16" ht="22.5" customHeight="1" thickBot="1" x14ac:dyDescent="0.35">
      <c r="B152" s="393"/>
      <c r="C152" s="422"/>
      <c r="D152" s="230"/>
      <c r="E152" s="417"/>
      <c r="F152" s="236"/>
      <c r="G152" s="109">
        <v>8</v>
      </c>
      <c r="H152" s="109"/>
      <c r="I152" s="233"/>
      <c r="J152" s="236"/>
      <c r="K152" s="286"/>
      <c r="L152" s="268"/>
      <c r="M152" s="444"/>
      <c r="N152" s="388"/>
      <c r="O152" s="446"/>
      <c r="P152" s="448"/>
    </row>
    <row r="153" spans="2:16" ht="22.5" customHeight="1" x14ac:dyDescent="0.3">
      <c r="B153" s="391" t="str">
        <f>+LEFT(C153,3)</f>
        <v>9.5</v>
      </c>
      <c r="C153" s="420" t="s">
        <v>206</v>
      </c>
      <c r="D153" s="423" t="s">
        <v>207</v>
      </c>
      <c r="E153" s="333" t="s">
        <v>600</v>
      </c>
      <c r="F153" s="234">
        <v>3</v>
      </c>
      <c r="G153" s="110">
        <v>1</v>
      </c>
      <c r="H153" s="151" t="s">
        <v>465</v>
      </c>
      <c r="I153" s="231" t="s">
        <v>602</v>
      </c>
      <c r="J153" s="234">
        <v>3</v>
      </c>
      <c r="K153" s="284" t="str">
        <f t="shared" si="12"/>
        <v>Mantenimiento del control</v>
      </c>
      <c r="L153" s="268">
        <f t="shared" si="13"/>
        <v>140</v>
      </c>
      <c r="M153" s="444">
        <v>3.3654000000000002</v>
      </c>
      <c r="N153" s="388">
        <f t="shared" si="14"/>
        <v>143.36539999999999</v>
      </c>
      <c r="O153" s="446"/>
      <c r="P153" s="448"/>
    </row>
    <row r="154" spans="2:16" ht="45.95" customHeight="1" x14ac:dyDescent="0.3">
      <c r="B154" s="392"/>
      <c r="C154" s="421"/>
      <c r="D154" s="229"/>
      <c r="E154" s="416"/>
      <c r="F154" s="235"/>
      <c r="G154" s="105">
        <v>2</v>
      </c>
      <c r="H154" s="149" t="s">
        <v>601</v>
      </c>
      <c r="I154" s="232"/>
      <c r="J154" s="235"/>
      <c r="K154" s="285"/>
      <c r="L154" s="268"/>
      <c r="M154" s="444"/>
      <c r="N154" s="388"/>
      <c r="O154" s="446"/>
      <c r="P154" s="448"/>
    </row>
    <row r="155" spans="2:16" ht="22.5" customHeight="1" x14ac:dyDescent="0.3">
      <c r="B155" s="392"/>
      <c r="C155" s="421"/>
      <c r="D155" s="229"/>
      <c r="E155" s="416"/>
      <c r="F155" s="235"/>
      <c r="G155" s="105">
        <v>3</v>
      </c>
      <c r="H155" s="105"/>
      <c r="I155" s="232"/>
      <c r="J155" s="235"/>
      <c r="K155" s="285"/>
      <c r="L155" s="268"/>
      <c r="M155" s="444"/>
      <c r="N155" s="388"/>
      <c r="O155" s="446"/>
      <c r="P155" s="448"/>
    </row>
    <row r="156" spans="2:16" ht="22.5" customHeight="1" x14ac:dyDescent="0.3">
      <c r="B156" s="392"/>
      <c r="C156" s="421"/>
      <c r="D156" s="229"/>
      <c r="E156" s="416"/>
      <c r="F156" s="235"/>
      <c r="G156" s="105">
        <v>4</v>
      </c>
      <c r="H156" s="105"/>
      <c r="I156" s="232"/>
      <c r="J156" s="235"/>
      <c r="K156" s="285"/>
      <c r="L156" s="268"/>
      <c r="M156" s="444"/>
      <c r="N156" s="388"/>
      <c r="O156" s="446"/>
      <c r="P156" s="448"/>
    </row>
    <row r="157" spans="2:16" ht="22.5" customHeight="1" x14ac:dyDescent="0.3">
      <c r="B157" s="392"/>
      <c r="C157" s="421"/>
      <c r="D157" s="229"/>
      <c r="E157" s="416"/>
      <c r="F157" s="235"/>
      <c r="G157" s="105">
        <v>5</v>
      </c>
      <c r="H157" s="105"/>
      <c r="I157" s="232"/>
      <c r="J157" s="235"/>
      <c r="K157" s="285"/>
      <c r="L157" s="268"/>
      <c r="M157" s="444"/>
      <c r="N157" s="388"/>
      <c r="O157" s="446"/>
      <c r="P157" s="448"/>
    </row>
    <row r="158" spans="2:16" ht="22.5" customHeight="1" x14ac:dyDescent="0.3">
      <c r="B158" s="392"/>
      <c r="C158" s="421"/>
      <c r="D158" s="229"/>
      <c r="E158" s="416"/>
      <c r="F158" s="235"/>
      <c r="G158" s="105">
        <v>6</v>
      </c>
      <c r="H158" s="105"/>
      <c r="I158" s="232"/>
      <c r="J158" s="235"/>
      <c r="K158" s="285"/>
      <c r="L158" s="268"/>
      <c r="M158" s="444"/>
      <c r="N158" s="388"/>
      <c r="O158" s="446"/>
      <c r="P158" s="448"/>
    </row>
    <row r="159" spans="2:16" ht="22.5" customHeight="1" x14ac:dyDescent="0.3">
      <c r="B159" s="392"/>
      <c r="C159" s="421"/>
      <c r="D159" s="229"/>
      <c r="E159" s="416"/>
      <c r="F159" s="235"/>
      <c r="G159" s="105">
        <v>7</v>
      </c>
      <c r="H159" s="105"/>
      <c r="I159" s="232"/>
      <c r="J159" s="235"/>
      <c r="K159" s="285"/>
      <c r="L159" s="268"/>
      <c r="M159" s="444"/>
      <c r="N159" s="388"/>
      <c r="O159" s="446"/>
      <c r="P159" s="448"/>
    </row>
    <row r="160" spans="2:16" ht="22.5" customHeight="1" thickBot="1" x14ac:dyDescent="0.35">
      <c r="B160" s="393"/>
      <c r="C160" s="422"/>
      <c r="D160" s="230"/>
      <c r="E160" s="417"/>
      <c r="F160" s="236"/>
      <c r="G160" s="109">
        <v>8</v>
      </c>
      <c r="H160" s="109"/>
      <c r="I160" s="233"/>
      <c r="J160" s="236"/>
      <c r="K160" s="286"/>
      <c r="L160" s="268"/>
      <c r="M160" s="444"/>
      <c r="N160" s="388"/>
      <c r="O160" s="446"/>
      <c r="P160" s="448"/>
    </row>
  </sheetData>
  <sheetProtection password="D72A" sheet="1" objects="1" scenarios="1" formatCells="0" formatColumns="0" formatRows="0"/>
  <mergeCells count="284">
    <mergeCell ref="I145:I152"/>
    <mergeCell ref="I153:I160"/>
    <mergeCell ref="H41:H42"/>
    <mergeCell ref="H84:H85"/>
    <mergeCell ref="H119:H120"/>
    <mergeCell ref="I51:I58"/>
    <mergeCell ref="I59:I66"/>
    <mergeCell ref="I67:I74"/>
    <mergeCell ref="I75:I82"/>
    <mergeCell ref="I86:I93"/>
    <mergeCell ref="I94:I101"/>
    <mergeCell ref="I102:I109"/>
    <mergeCell ref="I110:I117"/>
    <mergeCell ref="I121:I128"/>
    <mergeCell ref="P137:P144"/>
    <mergeCell ref="P145:P152"/>
    <mergeCell ref="P153:P160"/>
    <mergeCell ref="P75:P82"/>
    <mergeCell ref="P83:P85"/>
    <mergeCell ref="P86:P93"/>
    <mergeCell ref="P94:P101"/>
    <mergeCell ref="P102:P109"/>
    <mergeCell ref="P110:P117"/>
    <mergeCell ref="P118:P120"/>
    <mergeCell ref="P121:P128"/>
    <mergeCell ref="P129:P136"/>
    <mergeCell ref="P13:P15"/>
    <mergeCell ref="P16:P23"/>
    <mergeCell ref="P24:P31"/>
    <mergeCell ref="P32:P39"/>
    <mergeCell ref="P40:P42"/>
    <mergeCell ref="P43:P50"/>
    <mergeCell ref="P51:P58"/>
    <mergeCell ref="P59:P66"/>
    <mergeCell ref="P67:P74"/>
    <mergeCell ref="M137:M144"/>
    <mergeCell ref="M145:M152"/>
    <mergeCell ref="M153:M160"/>
    <mergeCell ref="O13:O15"/>
    <mergeCell ref="N16:N23"/>
    <mergeCell ref="O24:O31"/>
    <mergeCell ref="O32:O39"/>
    <mergeCell ref="O40:O42"/>
    <mergeCell ref="O43:O50"/>
    <mergeCell ref="O51:O58"/>
    <mergeCell ref="O59:O66"/>
    <mergeCell ref="O67:O74"/>
    <mergeCell ref="O75:O82"/>
    <mergeCell ref="O83:O85"/>
    <mergeCell ref="O86:O93"/>
    <mergeCell ref="O94:O101"/>
    <mergeCell ref="O102:O109"/>
    <mergeCell ref="O110:O117"/>
    <mergeCell ref="O118:O120"/>
    <mergeCell ref="O121:O128"/>
    <mergeCell ref="O129:O136"/>
    <mergeCell ref="O137:O144"/>
    <mergeCell ref="O145:O152"/>
    <mergeCell ref="O153:O160"/>
    <mergeCell ref="M75:M82"/>
    <mergeCell ref="M83:M85"/>
    <mergeCell ref="M86:M93"/>
    <mergeCell ref="M94:M101"/>
    <mergeCell ref="M102:M109"/>
    <mergeCell ref="M110:M117"/>
    <mergeCell ref="M118:M120"/>
    <mergeCell ref="M121:M128"/>
    <mergeCell ref="M129:M136"/>
    <mergeCell ref="M13:M15"/>
    <mergeCell ref="M16:M23"/>
    <mergeCell ref="M24:M31"/>
    <mergeCell ref="M32:M39"/>
    <mergeCell ref="M40:M42"/>
    <mergeCell ref="M43:M50"/>
    <mergeCell ref="M51:M58"/>
    <mergeCell ref="M59:M66"/>
    <mergeCell ref="M67:M74"/>
    <mergeCell ref="L13:L15"/>
    <mergeCell ref="L16:L23"/>
    <mergeCell ref="L24:L31"/>
    <mergeCell ref="L32:L39"/>
    <mergeCell ref="L40:L42"/>
    <mergeCell ref="L43:L50"/>
    <mergeCell ref="L51:L58"/>
    <mergeCell ref="L59:L66"/>
    <mergeCell ref="L67:L74"/>
    <mergeCell ref="L75:L82"/>
    <mergeCell ref="L83:L85"/>
    <mergeCell ref="L86:L93"/>
    <mergeCell ref="L94:L101"/>
    <mergeCell ref="L102:L109"/>
    <mergeCell ref="L110:L117"/>
    <mergeCell ref="L118:L120"/>
    <mergeCell ref="L121:L128"/>
    <mergeCell ref="L129:L136"/>
    <mergeCell ref="L137:L144"/>
    <mergeCell ref="L145:L152"/>
    <mergeCell ref="L153:L160"/>
    <mergeCell ref="J137:J144"/>
    <mergeCell ref="C94:C101"/>
    <mergeCell ref="D94:D101"/>
    <mergeCell ref="E94:E101"/>
    <mergeCell ref="F94:F101"/>
    <mergeCell ref="J94:J101"/>
    <mergeCell ref="C102:C109"/>
    <mergeCell ref="D102:D109"/>
    <mergeCell ref="E102:E109"/>
    <mergeCell ref="F102:F109"/>
    <mergeCell ref="J102:J109"/>
    <mergeCell ref="C121:C128"/>
    <mergeCell ref="E121:E128"/>
    <mergeCell ref="F121:F128"/>
    <mergeCell ref="F118:F120"/>
    <mergeCell ref="C145:C152"/>
    <mergeCell ref="F145:F152"/>
    <mergeCell ref="D145:D152"/>
    <mergeCell ref="E145:E152"/>
    <mergeCell ref="F153:F160"/>
    <mergeCell ref="K121:K128"/>
    <mergeCell ref="C67:C74"/>
    <mergeCell ref="D67:D74"/>
    <mergeCell ref="E67:E74"/>
    <mergeCell ref="F67:F74"/>
    <mergeCell ref="J67:J74"/>
    <mergeCell ref="E83:E85"/>
    <mergeCell ref="E118:E120"/>
    <mergeCell ref="G84:G85"/>
    <mergeCell ref="G14:G15"/>
    <mergeCell ref="C24:C31"/>
    <mergeCell ref="E24:E31"/>
    <mergeCell ref="F24:F31"/>
    <mergeCell ref="C13:C15"/>
    <mergeCell ref="C83:C85"/>
    <mergeCell ref="F83:F85"/>
    <mergeCell ref="C75:C82"/>
    <mergeCell ref="E75:E82"/>
    <mergeCell ref="F75:F82"/>
    <mergeCell ref="D75:D82"/>
    <mergeCell ref="D83:D85"/>
    <mergeCell ref="D118:D120"/>
    <mergeCell ref="C118:C120"/>
    <mergeCell ref="C32:C39"/>
    <mergeCell ref="E32:E39"/>
    <mergeCell ref="F32:F39"/>
    <mergeCell ref="D32:D39"/>
    <mergeCell ref="I41:I42"/>
    <mergeCell ref="C43:C50"/>
    <mergeCell ref="E43:E50"/>
    <mergeCell ref="G40:I40"/>
    <mergeCell ref="F40:F42"/>
    <mergeCell ref="F43:F50"/>
    <mergeCell ref="E40:E42"/>
    <mergeCell ref="I43:I50"/>
    <mergeCell ref="F59:F66"/>
    <mergeCell ref="G41:G42"/>
    <mergeCell ref="C51:C58"/>
    <mergeCell ref="D40:D42"/>
    <mergeCell ref="D59:D66"/>
    <mergeCell ref="C40:C42"/>
    <mergeCell ref="C59:C66"/>
    <mergeCell ref="E59:E66"/>
    <mergeCell ref="D43:D50"/>
    <mergeCell ref="D51:D58"/>
    <mergeCell ref="E51:E58"/>
    <mergeCell ref="F51:F58"/>
    <mergeCell ref="J129:J136"/>
    <mergeCell ref="J153:J160"/>
    <mergeCell ref="G119:G120"/>
    <mergeCell ref="G83:I83"/>
    <mergeCell ref="G118:I118"/>
    <mergeCell ref="C86:C93"/>
    <mergeCell ref="E86:E93"/>
    <mergeCell ref="F86:F93"/>
    <mergeCell ref="C110:C117"/>
    <mergeCell ref="E110:E117"/>
    <mergeCell ref="F110:F117"/>
    <mergeCell ref="D110:D117"/>
    <mergeCell ref="D86:D93"/>
    <mergeCell ref="C137:C144"/>
    <mergeCell ref="D137:D144"/>
    <mergeCell ref="E137:E144"/>
    <mergeCell ref="F137:F144"/>
    <mergeCell ref="D129:D136"/>
    <mergeCell ref="D121:D128"/>
    <mergeCell ref="C129:C136"/>
    <mergeCell ref="E129:E136"/>
    <mergeCell ref="F129:F136"/>
    <mergeCell ref="I129:I136"/>
    <mergeCell ref="I137:I144"/>
    <mergeCell ref="E16:E23"/>
    <mergeCell ref="D24:D31"/>
    <mergeCell ref="E13:E15"/>
    <mergeCell ref="D13:D15"/>
    <mergeCell ref="J13:J15"/>
    <mergeCell ref="H14:H15"/>
    <mergeCell ref="I16:I23"/>
    <mergeCell ref="C153:C160"/>
    <mergeCell ref="E153:E160"/>
    <mergeCell ref="D153:D160"/>
    <mergeCell ref="J32:J39"/>
    <mergeCell ref="J40:J42"/>
    <mergeCell ref="J43:J50"/>
    <mergeCell ref="J51:J58"/>
    <mergeCell ref="J59:J66"/>
    <mergeCell ref="J75:J82"/>
    <mergeCell ref="J83:J85"/>
    <mergeCell ref="J86:J93"/>
    <mergeCell ref="J145:J152"/>
    <mergeCell ref="J121:J128"/>
    <mergeCell ref="I84:I85"/>
    <mergeCell ref="I119:I120"/>
    <mergeCell ref="J110:J117"/>
    <mergeCell ref="J118:J120"/>
    <mergeCell ref="K145:K152"/>
    <mergeCell ref="K153:K160"/>
    <mergeCell ref="C10:K10"/>
    <mergeCell ref="C11:K11"/>
    <mergeCell ref="K13:K15"/>
    <mergeCell ref="K40:K42"/>
    <mergeCell ref="K83:K85"/>
    <mergeCell ref="K118:K120"/>
    <mergeCell ref="K16:K23"/>
    <mergeCell ref="K24:K31"/>
    <mergeCell ref="K32:K39"/>
    <mergeCell ref="K43:K50"/>
    <mergeCell ref="K51:K58"/>
    <mergeCell ref="K59:K66"/>
    <mergeCell ref="K67:K74"/>
    <mergeCell ref="K75:K82"/>
    <mergeCell ref="K86:K93"/>
    <mergeCell ref="K94:K101"/>
    <mergeCell ref="K102:K109"/>
    <mergeCell ref="K110:K117"/>
    <mergeCell ref="G13:I13"/>
    <mergeCell ref="J16:J23"/>
    <mergeCell ref="J24:J31"/>
    <mergeCell ref="I14:I15"/>
    <mergeCell ref="B145:B152"/>
    <mergeCell ref="B153:B160"/>
    <mergeCell ref="B86:B93"/>
    <mergeCell ref="B94:B101"/>
    <mergeCell ref="B121:B128"/>
    <mergeCell ref="B129:B136"/>
    <mergeCell ref="B75:B82"/>
    <mergeCell ref="B83:B85"/>
    <mergeCell ref="B102:B109"/>
    <mergeCell ref="B110:B117"/>
    <mergeCell ref="B118:B120"/>
    <mergeCell ref="N13:N15"/>
    <mergeCell ref="N24:N31"/>
    <mergeCell ref="N32:N39"/>
    <mergeCell ref="N40:N42"/>
    <mergeCell ref="N43:N50"/>
    <mergeCell ref="N51:N58"/>
    <mergeCell ref="N59:N66"/>
    <mergeCell ref="N67:N74"/>
    <mergeCell ref="B137:B144"/>
    <mergeCell ref="B13:B15"/>
    <mergeCell ref="B16:B23"/>
    <mergeCell ref="B24:B31"/>
    <mergeCell ref="B32:B39"/>
    <mergeCell ref="B51:B58"/>
    <mergeCell ref="B59:B66"/>
    <mergeCell ref="B67:B74"/>
    <mergeCell ref="B40:B42"/>
    <mergeCell ref="B43:B50"/>
    <mergeCell ref="K129:K136"/>
    <mergeCell ref="K137:K144"/>
    <mergeCell ref="F13:F15"/>
    <mergeCell ref="C16:C23"/>
    <mergeCell ref="D16:D23"/>
    <mergeCell ref="F16:F23"/>
    <mergeCell ref="N137:N144"/>
    <mergeCell ref="N145:N152"/>
    <mergeCell ref="N153:N160"/>
    <mergeCell ref="N75:N82"/>
    <mergeCell ref="N83:N85"/>
    <mergeCell ref="N86:N93"/>
    <mergeCell ref="N94:N101"/>
    <mergeCell ref="N102:N109"/>
    <mergeCell ref="N110:N117"/>
    <mergeCell ref="N118:N120"/>
    <mergeCell ref="N121:N128"/>
    <mergeCell ref="N129:N136"/>
  </mergeCells>
  <dataValidations count="1">
    <dataValidation type="list" allowBlank="1" showInputMessage="1" showErrorMessage="1" sqref="F121:F160 F43:F82 J16:J39 F86:F117 J86:J117 F16:F39 J43:J82 J121:J160" xr:uid="{00000000-0002-0000-0300-000000000000}">
      <formula1>"1,2,3"</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3" tint="0.39997558519241921"/>
  </sheetPr>
  <dimension ref="B1:O198"/>
  <sheetViews>
    <sheetView showGridLines="0" topLeftCell="A4" zoomScaleNormal="90" workbookViewId="0">
      <selection activeCell="I56" sqref="I56:I63"/>
    </sheetView>
  </sheetViews>
  <sheetFormatPr baseColWidth="10" defaultColWidth="3.140625" defaultRowHeight="22.5" customHeight="1" x14ac:dyDescent="0.3"/>
  <cols>
    <col min="1" max="1" width="2.42578125" style="10" customWidth="1"/>
    <col min="2" max="2" width="4.42578125" style="10" hidden="1" customWidth="1"/>
    <col min="3" max="4" width="42.42578125" style="10" customWidth="1"/>
    <col min="5" max="5" width="38" style="10" customWidth="1"/>
    <col min="6" max="6" width="7.42578125" style="10" customWidth="1"/>
    <col min="7" max="7" width="3.42578125" style="10" bestFit="1" customWidth="1"/>
    <col min="8" max="8" width="38.28515625" style="10" customWidth="1"/>
    <col min="9" max="9" width="39.140625" style="10" customWidth="1"/>
    <col min="10" max="10" width="7.42578125" style="10" customWidth="1"/>
    <col min="11" max="11" width="26" style="10" customWidth="1"/>
    <col min="12" max="13" width="8" style="68" customWidth="1"/>
    <col min="14" max="14" width="12" style="68" customWidth="1"/>
    <col min="15" max="15" width="3.140625" style="39" customWidth="1"/>
    <col min="16" max="16363" width="3.140625" style="10" customWidth="1"/>
    <col min="16364" max="16384" width="3.140625" style="10"/>
  </cols>
  <sheetData>
    <row r="1" spans="3:11" ht="9.9499999999999993" customHeight="1" x14ac:dyDescent="0.3"/>
    <row r="2" spans="3:11" ht="9.9499999999999993" customHeight="1" x14ac:dyDescent="0.3"/>
    <row r="3" spans="3:11" ht="9.9499999999999993" customHeight="1" x14ac:dyDescent="0.3"/>
    <row r="4" spans="3:11" ht="9.9499999999999993" customHeight="1" x14ac:dyDescent="0.3"/>
    <row r="5" spans="3:11" ht="9.9499999999999993" customHeight="1" x14ac:dyDescent="0.3"/>
    <row r="6" spans="3:11" ht="9.9499999999999993" customHeight="1" x14ac:dyDescent="0.3"/>
    <row r="7" spans="3:11" ht="9.9499999999999993" customHeight="1" x14ac:dyDescent="0.3"/>
    <row r="8" spans="3:11" ht="9.9499999999999993" customHeight="1" x14ac:dyDescent="0.3"/>
    <row r="9" spans="3:11" ht="9.9499999999999993" customHeight="1" x14ac:dyDescent="0.3"/>
    <row r="10" spans="3:11" ht="9.9499999999999993" customHeight="1" x14ac:dyDescent="0.3"/>
    <row r="11" spans="3:11" ht="9.9499999999999993" customHeight="1" x14ac:dyDescent="0.3"/>
    <row r="12" spans="3:11" ht="31.5" customHeight="1" x14ac:dyDescent="0.3"/>
    <row r="13" spans="3:11" ht="24.75" customHeight="1" x14ac:dyDescent="0.3"/>
    <row r="14" spans="3:11" ht="20.25" customHeight="1" x14ac:dyDescent="0.3"/>
    <row r="15" spans="3:11" ht="20.100000000000001" customHeight="1" x14ac:dyDescent="0.3">
      <c r="C15" s="464" t="s">
        <v>208</v>
      </c>
      <c r="D15" s="464"/>
      <c r="E15" s="464"/>
      <c r="F15" s="464"/>
      <c r="G15" s="464"/>
      <c r="H15" s="464"/>
      <c r="I15" s="464"/>
      <c r="J15" s="464"/>
      <c r="K15" s="464"/>
    </row>
    <row r="16" spans="3:11" ht="37.700000000000003" customHeight="1" x14ac:dyDescent="0.3">
      <c r="C16" s="332" t="s">
        <v>209</v>
      </c>
      <c r="D16" s="332"/>
      <c r="E16" s="332"/>
      <c r="F16" s="332"/>
      <c r="G16" s="332"/>
      <c r="H16" s="332"/>
      <c r="I16" s="332"/>
      <c r="J16" s="332"/>
      <c r="K16" s="332"/>
    </row>
    <row r="17" spans="2:14" ht="9.9499999999999993" customHeight="1" thickBot="1" x14ac:dyDescent="0.35">
      <c r="C17" s="11"/>
      <c r="D17" s="11"/>
      <c r="F17" s="12"/>
    </row>
    <row r="18" spans="2:14" ht="36.75" customHeight="1" x14ac:dyDescent="0.3">
      <c r="B18" s="458" t="s">
        <v>111</v>
      </c>
      <c r="C18" s="481" t="s">
        <v>210</v>
      </c>
      <c r="D18" s="484" t="s">
        <v>8</v>
      </c>
      <c r="E18" s="484" t="s">
        <v>211</v>
      </c>
      <c r="F18" s="477" t="s">
        <v>175</v>
      </c>
      <c r="G18" s="487" t="s">
        <v>115</v>
      </c>
      <c r="H18" s="487"/>
      <c r="I18" s="487"/>
      <c r="J18" s="477" t="s">
        <v>212</v>
      </c>
      <c r="K18" s="467" t="s">
        <v>135</v>
      </c>
      <c r="L18" s="443"/>
      <c r="M18" s="443"/>
      <c r="N18" s="443"/>
    </row>
    <row r="19" spans="2:14" ht="29.25" customHeight="1" x14ac:dyDescent="0.3">
      <c r="B19" s="459"/>
      <c r="C19" s="482"/>
      <c r="D19" s="485"/>
      <c r="E19" s="485"/>
      <c r="F19" s="478"/>
      <c r="G19" s="475" t="s">
        <v>13</v>
      </c>
      <c r="H19" s="485" t="s">
        <v>15</v>
      </c>
      <c r="I19" s="485" t="s">
        <v>17</v>
      </c>
      <c r="J19" s="478"/>
      <c r="K19" s="468"/>
      <c r="L19" s="443"/>
      <c r="M19" s="443"/>
      <c r="N19" s="443"/>
    </row>
    <row r="20" spans="2:14" ht="65.25" customHeight="1" thickBot="1" x14ac:dyDescent="0.35">
      <c r="B20" s="460"/>
      <c r="C20" s="483"/>
      <c r="D20" s="486"/>
      <c r="E20" s="486"/>
      <c r="F20" s="479"/>
      <c r="G20" s="476"/>
      <c r="H20" s="476"/>
      <c r="I20" s="476"/>
      <c r="J20" s="479"/>
      <c r="K20" s="469"/>
      <c r="L20" s="443"/>
      <c r="M20" s="443"/>
      <c r="N20" s="443"/>
    </row>
    <row r="21" spans="2:14" ht="36" customHeight="1" x14ac:dyDescent="0.3">
      <c r="B21" s="249" t="str">
        <f>+LEFT(C21,4)</f>
        <v>10.1</v>
      </c>
      <c r="C21" s="473" t="s">
        <v>213</v>
      </c>
      <c r="D21" s="229" t="s">
        <v>203</v>
      </c>
      <c r="E21" s="333" t="s">
        <v>466</v>
      </c>
      <c r="F21" s="474">
        <v>3</v>
      </c>
      <c r="G21" s="104">
        <v>1</v>
      </c>
      <c r="H21" s="152" t="s">
        <v>448</v>
      </c>
      <c r="I21" s="232" t="s">
        <v>603</v>
      </c>
      <c r="J21" s="480">
        <v>3</v>
      </c>
      <c r="K21" s="337" t="str">
        <f t="shared" ref="K21" si="0">+IF(OR(ISBLANK(F21),ISBLANK(J21)),"",IF(OR(AND(F21=1,J21=1),AND(F21=1,J21=2),AND(F21=1,J21=3)),"Deficiencia de control mayor (diseño y ejecución)",IF(OR(AND(F21=2,J21=2),AND(F21=3,J21=1),AND(F21=3,J21=2),AND(F21=2,J21=1)),"Deficiencia de control (diseño o ejecución)",IF(AND(F21=2,J21=3),"Oportunidad de mejora","Mantenimiento del control"))))</f>
        <v>Mantenimiento del control</v>
      </c>
      <c r="L21" s="268">
        <f>+IF(K21="",152,IF(K21="Deficiencia de control mayor (diseño y ejecución)",160,IF(K21="Deficiencia de control (diseño o ejecución)",180,IF(K21="Oportunidad de mejora",200,220))))</f>
        <v>220</v>
      </c>
      <c r="M21" s="444">
        <v>3.4569000000000001</v>
      </c>
      <c r="N21" s="444">
        <f>+L21+M21</f>
        <v>223.45689999999999</v>
      </c>
    </row>
    <row r="22" spans="2:14" ht="36.75" customHeight="1" x14ac:dyDescent="0.3">
      <c r="B22" s="250"/>
      <c r="C22" s="226"/>
      <c r="D22" s="229"/>
      <c r="E22" s="416"/>
      <c r="F22" s="235"/>
      <c r="G22" s="105">
        <v>2</v>
      </c>
      <c r="H22" s="105"/>
      <c r="I22" s="232"/>
      <c r="J22" s="256"/>
      <c r="K22" s="285"/>
      <c r="L22" s="268"/>
      <c r="M22" s="444"/>
      <c r="N22" s="444"/>
    </row>
    <row r="23" spans="2:14" ht="36.75" customHeight="1" x14ac:dyDescent="0.3">
      <c r="B23" s="250"/>
      <c r="C23" s="226"/>
      <c r="D23" s="229"/>
      <c r="E23" s="416"/>
      <c r="F23" s="235"/>
      <c r="G23" s="105">
        <v>3</v>
      </c>
      <c r="H23" s="105"/>
      <c r="I23" s="232"/>
      <c r="J23" s="256"/>
      <c r="K23" s="285"/>
      <c r="L23" s="268"/>
      <c r="M23" s="444"/>
      <c r="N23" s="444"/>
    </row>
    <row r="24" spans="2:14" ht="39.75" customHeight="1" x14ac:dyDescent="0.3">
      <c r="B24" s="250"/>
      <c r="C24" s="226"/>
      <c r="D24" s="229"/>
      <c r="E24" s="416"/>
      <c r="F24" s="235"/>
      <c r="G24" s="105">
        <v>4</v>
      </c>
      <c r="H24" s="105"/>
      <c r="I24" s="232"/>
      <c r="J24" s="256"/>
      <c r="K24" s="285"/>
      <c r="L24" s="268"/>
      <c r="M24" s="444"/>
      <c r="N24" s="444"/>
    </row>
    <row r="25" spans="2:14" ht="36.75" customHeight="1" x14ac:dyDescent="0.3">
      <c r="B25" s="250"/>
      <c r="C25" s="226"/>
      <c r="D25" s="229"/>
      <c r="E25" s="416"/>
      <c r="F25" s="235"/>
      <c r="G25" s="105">
        <v>5</v>
      </c>
      <c r="H25" s="105"/>
      <c r="I25" s="232"/>
      <c r="J25" s="256"/>
      <c r="K25" s="285"/>
      <c r="L25" s="268"/>
      <c r="M25" s="444"/>
      <c r="N25" s="444"/>
    </row>
    <row r="26" spans="2:14" ht="37.5" customHeight="1" x14ac:dyDescent="0.3">
      <c r="B26" s="250"/>
      <c r="C26" s="226"/>
      <c r="D26" s="229"/>
      <c r="E26" s="416"/>
      <c r="F26" s="235"/>
      <c r="G26" s="105">
        <v>6</v>
      </c>
      <c r="H26" s="105"/>
      <c r="I26" s="232"/>
      <c r="J26" s="256"/>
      <c r="K26" s="285"/>
      <c r="L26" s="268"/>
      <c r="M26" s="444"/>
      <c r="N26" s="444"/>
    </row>
    <row r="27" spans="2:14" ht="37.5" customHeight="1" x14ac:dyDescent="0.3">
      <c r="B27" s="250"/>
      <c r="C27" s="226"/>
      <c r="D27" s="229"/>
      <c r="E27" s="416"/>
      <c r="F27" s="235"/>
      <c r="G27" s="105">
        <v>7</v>
      </c>
      <c r="H27" s="105"/>
      <c r="I27" s="232"/>
      <c r="J27" s="256"/>
      <c r="K27" s="285"/>
      <c r="L27" s="268"/>
      <c r="M27" s="444"/>
      <c r="N27" s="444"/>
    </row>
    <row r="28" spans="2:14" ht="45" customHeight="1" thickBot="1" x14ac:dyDescent="0.35">
      <c r="B28" s="251"/>
      <c r="C28" s="227"/>
      <c r="D28" s="230"/>
      <c r="E28" s="417"/>
      <c r="F28" s="236"/>
      <c r="G28" s="109">
        <v>8</v>
      </c>
      <c r="H28" s="109"/>
      <c r="I28" s="233"/>
      <c r="J28" s="257"/>
      <c r="K28" s="286"/>
      <c r="L28" s="268"/>
      <c r="M28" s="444"/>
      <c r="N28" s="444"/>
    </row>
    <row r="29" spans="2:14" ht="48" customHeight="1" x14ac:dyDescent="0.3">
      <c r="B29" s="249" t="str">
        <f>+LEFT(C29,4)</f>
        <v>10.2</v>
      </c>
      <c r="C29" s="225" t="s">
        <v>214</v>
      </c>
      <c r="D29" s="228" t="s">
        <v>203</v>
      </c>
      <c r="E29" s="231" t="s">
        <v>604</v>
      </c>
      <c r="F29" s="234">
        <v>3</v>
      </c>
      <c r="G29" s="110">
        <v>1</v>
      </c>
      <c r="H29" s="152" t="s">
        <v>605</v>
      </c>
      <c r="I29" s="231" t="s">
        <v>606</v>
      </c>
      <c r="J29" s="255">
        <v>2</v>
      </c>
      <c r="K29" s="284" t="str">
        <f t="shared" ref="K29:K37" si="1">+IF(OR(ISBLANK(F29),ISBLANK(J29)),"",IF(OR(AND(F29=1,J29=1),AND(F29=1,J29=2),AND(F29=1,J29=3)),"Deficiencia de control mayor (diseño y ejecución)",IF(OR(AND(F29=2,J29=2),AND(F29=3,J29=1),AND(F29=3,J29=2),AND(F29=2,J29=1)),"Deficiencia de control (diseño o ejecución)",IF(AND(F29=2,J29=3),"Oportunidad de mejora","Mantenimiento del control"))))</f>
        <v>Deficiencia de control (diseño o ejecución)</v>
      </c>
      <c r="L29" s="268">
        <f t="shared" ref="L29" si="2">+IF(K29="",152,IF(K29="Deficiencia de control mayor (diseño y ejecución)",160,IF(K29="Deficiencia de control (diseño o ejecución)",180,IF(K29="Oportunidad de mejora",200,220))))</f>
        <v>180</v>
      </c>
      <c r="M29" s="444">
        <v>3.5478000000000001</v>
      </c>
      <c r="N29" s="444">
        <f>+L29+M29</f>
        <v>183.5478</v>
      </c>
    </row>
    <row r="30" spans="2:14" ht="21" customHeight="1" x14ac:dyDescent="0.3">
      <c r="B30" s="250"/>
      <c r="C30" s="226"/>
      <c r="D30" s="229"/>
      <c r="E30" s="232"/>
      <c r="F30" s="235"/>
      <c r="G30" s="105">
        <v>2</v>
      </c>
      <c r="H30" s="105"/>
      <c r="I30" s="232"/>
      <c r="J30" s="256"/>
      <c r="K30" s="285"/>
      <c r="L30" s="268"/>
      <c r="M30" s="444"/>
      <c r="N30" s="444"/>
    </row>
    <row r="31" spans="2:14" ht="21" customHeight="1" x14ac:dyDescent="0.3">
      <c r="B31" s="250"/>
      <c r="C31" s="226"/>
      <c r="D31" s="229"/>
      <c r="E31" s="232"/>
      <c r="F31" s="235"/>
      <c r="G31" s="105">
        <v>3</v>
      </c>
      <c r="H31" s="105"/>
      <c r="I31" s="232"/>
      <c r="J31" s="256"/>
      <c r="K31" s="285"/>
      <c r="L31" s="268"/>
      <c r="M31" s="444"/>
      <c r="N31" s="444"/>
    </row>
    <row r="32" spans="2:14" ht="21" customHeight="1" x14ac:dyDescent="0.3">
      <c r="B32" s="250"/>
      <c r="C32" s="226"/>
      <c r="D32" s="229"/>
      <c r="E32" s="232"/>
      <c r="F32" s="235"/>
      <c r="G32" s="105">
        <v>4</v>
      </c>
      <c r="H32" s="105"/>
      <c r="I32" s="232"/>
      <c r="J32" s="256"/>
      <c r="K32" s="285"/>
      <c r="L32" s="268"/>
      <c r="M32" s="444"/>
      <c r="N32" s="444"/>
    </row>
    <row r="33" spans="2:14" ht="21" customHeight="1" x14ac:dyDescent="0.3">
      <c r="B33" s="250"/>
      <c r="C33" s="226"/>
      <c r="D33" s="229"/>
      <c r="E33" s="232"/>
      <c r="F33" s="235"/>
      <c r="G33" s="105">
        <v>5</v>
      </c>
      <c r="H33" s="207"/>
      <c r="I33" s="232"/>
      <c r="J33" s="256"/>
      <c r="K33" s="285"/>
      <c r="L33" s="268"/>
      <c r="M33" s="444"/>
      <c r="N33" s="444"/>
    </row>
    <row r="34" spans="2:14" ht="21" customHeight="1" x14ac:dyDescent="0.3">
      <c r="B34" s="250"/>
      <c r="C34" s="226"/>
      <c r="D34" s="229"/>
      <c r="E34" s="232"/>
      <c r="F34" s="235"/>
      <c r="G34" s="105">
        <v>6</v>
      </c>
      <c r="H34" s="105"/>
      <c r="I34" s="232"/>
      <c r="J34" s="256"/>
      <c r="K34" s="285"/>
      <c r="L34" s="268"/>
      <c r="M34" s="444"/>
      <c r="N34" s="444"/>
    </row>
    <row r="35" spans="2:14" ht="21" customHeight="1" x14ac:dyDescent="0.3">
      <c r="B35" s="250"/>
      <c r="C35" s="226"/>
      <c r="D35" s="229"/>
      <c r="E35" s="232"/>
      <c r="F35" s="235"/>
      <c r="G35" s="105">
        <v>7</v>
      </c>
      <c r="H35" s="105"/>
      <c r="I35" s="232"/>
      <c r="J35" s="256"/>
      <c r="K35" s="285"/>
      <c r="L35" s="268"/>
      <c r="M35" s="444"/>
      <c r="N35" s="444"/>
    </row>
    <row r="36" spans="2:14" ht="21" customHeight="1" thickBot="1" x14ac:dyDescent="0.35">
      <c r="B36" s="251"/>
      <c r="C36" s="227"/>
      <c r="D36" s="230"/>
      <c r="E36" s="233"/>
      <c r="F36" s="236"/>
      <c r="G36" s="109">
        <v>8</v>
      </c>
      <c r="H36" s="109"/>
      <c r="I36" s="233"/>
      <c r="J36" s="257"/>
      <c r="K36" s="286"/>
      <c r="L36" s="268"/>
      <c r="M36" s="444"/>
      <c r="N36" s="444"/>
    </row>
    <row r="37" spans="2:14" ht="45" customHeight="1" x14ac:dyDescent="0.3">
      <c r="B37" s="249" t="str">
        <f>+LEFT(C37,4)</f>
        <v>10.3</v>
      </c>
      <c r="C37" s="225" t="s">
        <v>215</v>
      </c>
      <c r="D37" s="228" t="s">
        <v>216</v>
      </c>
      <c r="E37" s="333" t="s">
        <v>480</v>
      </c>
      <c r="F37" s="234">
        <v>3</v>
      </c>
      <c r="G37" s="110">
        <v>1</v>
      </c>
      <c r="H37" s="152" t="s">
        <v>449</v>
      </c>
      <c r="I37" s="231" t="s">
        <v>448</v>
      </c>
      <c r="J37" s="255">
        <v>3</v>
      </c>
      <c r="K37" s="284" t="str">
        <f t="shared" si="1"/>
        <v>Mantenimiento del control</v>
      </c>
      <c r="L37" s="268">
        <f t="shared" ref="L37" si="3">+IF(K37="",152,IF(K37="Deficiencia de control mayor (diseño y ejecución)",160,IF(K37="Deficiencia de control (diseño o ejecución)",180,IF(K37="Oportunidad de mejora",200,220))))</f>
        <v>220</v>
      </c>
      <c r="M37" s="444">
        <v>3.6457999999999999</v>
      </c>
      <c r="N37" s="444">
        <f>+L37+M37</f>
        <v>223.64580000000001</v>
      </c>
    </row>
    <row r="38" spans="2:14" ht="21" customHeight="1" x14ac:dyDescent="0.3">
      <c r="B38" s="250"/>
      <c r="C38" s="226"/>
      <c r="D38" s="229"/>
      <c r="E38" s="416"/>
      <c r="F38" s="235"/>
      <c r="G38" s="105">
        <v>2</v>
      </c>
      <c r="H38" s="105"/>
      <c r="I38" s="232"/>
      <c r="J38" s="256"/>
      <c r="K38" s="285"/>
      <c r="L38" s="268"/>
      <c r="M38" s="444"/>
      <c r="N38" s="444"/>
    </row>
    <row r="39" spans="2:14" ht="21" customHeight="1" x14ac:dyDescent="0.3">
      <c r="B39" s="250"/>
      <c r="C39" s="226"/>
      <c r="D39" s="229"/>
      <c r="E39" s="416"/>
      <c r="F39" s="235"/>
      <c r="G39" s="105">
        <v>3</v>
      </c>
      <c r="H39" s="105"/>
      <c r="I39" s="232"/>
      <c r="J39" s="256"/>
      <c r="K39" s="285"/>
      <c r="L39" s="268"/>
      <c r="M39" s="444"/>
      <c r="N39" s="444"/>
    </row>
    <row r="40" spans="2:14" ht="21" customHeight="1" x14ac:dyDescent="0.3">
      <c r="B40" s="250"/>
      <c r="C40" s="226"/>
      <c r="D40" s="229"/>
      <c r="E40" s="416"/>
      <c r="F40" s="235"/>
      <c r="G40" s="105">
        <v>4</v>
      </c>
      <c r="H40" s="105"/>
      <c r="I40" s="232"/>
      <c r="J40" s="256"/>
      <c r="K40" s="285"/>
      <c r="L40" s="268"/>
      <c r="M40" s="444"/>
      <c r="N40" s="444"/>
    </row>
    <row r="41" spans="2:14" ht="21" customHeight="1" x14ac:dyDescent="0.3">
      <c r="B41" s="250"/>
      <c r="C41" s="226"/>
      <c r="D41" s="229"/>
      <c r="E41" s="416"/>
      <c r="F41" s="235"/>
      <c r="G41" s="105">
        <v>5</v>
      </c>
      <c r="H41" s="105"/>
      <c r="I41" s="232"/>
      <c r="J41" s="256"/>
      <c r="K41" s="285"/>
      <c r="L41" s="268"/>
      <c r="M41" s="444"/>
      <c r="N41" s="444"/>
    </row>
    <row r="42" spans="2:14" ht="21" customHeight="1" x14ac:dyDescent="0.3">
      <c r="B42" s="250"/>
      <c r="C42" s="226"/>
      <c r="D42" s="229"/>
      <c r="E42" s="416"/>
      <c r="F42" s="235"/>
      <c r="G42" s="105">
        <v>6</v>
      </c>
      <c r="H42" s="105"/>
      <c r="I42" s="232"/>
      <c r="J42" s="256"/>
      <c r="K42" s="285"/>
      <c r="L42" s="268"/>
      <c r="M42" s="444"/>
      <c r="N42" s="444"/>
    </row>
    <row r="43" spans="2:14" ht="21" customHeight="1" x14ac:dyDescent="0.3">
      <c r="B43" s="250"/>
      <c r="C43" s="226"/>
      <c r="D43" s="229"/>
      <c r="E43" s="416"/>
      <c r="F43" s="235"/>
      <c r="G43" s="105">
        <v>7</v>
      </c>
      <c r="H43" s="105"/>
      <c r="I43" s="232"/>
      <c r="J43" s="256"/>
      <c r="K43" s="285"/>
      <c r="L43" s="268"/>
      <c r="M43" s="444"/>
      <c r="N43" s="444"/>
    </row>
    <row r="44" spans="2:14" ht="21" customHeight="1" thickBot="1" x14ac:dyDescent="0.35">
      <c r="B44" s="251"/>
      <c r="C44" s="227"/>
      <c r="D44" s="230"/>
      <c r="E44" s="417"/>
      <c r="F44" s="236"/>
      <c r="G44" s="109">
        <v>8</v>
      </c>
      <c r="H44" s="109"/>
      <c r="I44" s="233"/>
      <c r="J44" s="257"/>
      <c r="K44" s="286"/>
      <c r="L44" s="268"/>
      <c r="M44" s="444"/>
      <c r="N44" s="444"/>
    </row>
    <row r="45" spans="2:14" ht="27" customHeight="1" x14ac:dyDescent="0.3">
      <c r="B45" s="461"/>
      <c r="C45" s="481" t="s">
        <v>217</v>
      </c>
      <c r="D45" s="502" t="s">
        <v>8</v>
      </c>
      <c r="E45" s="499" t="s">
        <v>211</v>
      </c>
      <c r="F45" s="503" t="s">
        <v>175</v>
      </c>
      <c r="G45" s="505" t="s">
        <v>115</v>
      </c>
      <c r="H45" s="506"/>
      <c r="I45" s="506"/>
      <c r="J45" s="503" t="s">
        <v>212</v>
      </c>
      <c r="K45" s="470" t="s">
        <v>135</v>
      </c>
      <c r="L45" s="442"/>
      <c r="M45" s="442"/>
      <c r="N45" s="442"/>
    </row>
    <row r="46" spans="2:14" ht="33" customHeight="1" x14ac:dyDescent="0.3">
      <c r="B46" s="462"/>
      <c r="C46" s="482"/>
      <c r="D46" s="497"/>
      <c r="E46" s="500"/>
      <c r="F46" s="488"/>
      <c r="G46" s="490" t="s">
        <v>13</v>
      </c>
      <c r="H46" s="494" t="s">
        <v>15</v>
      </c>
      <c r="I46" s="494" t="s">
        <v>17</v>
      </c>
      <c r="J46" s="488"/>
      <c r="K46" s="471"/>
      <c r="L46" s="442"/>
      <c r="M46" s="442"/>
      <c r="N46" s="442"/>
    </row>
    <row r="47" spans="2:14" ht="75" customHeight="1" thickBot="1" x14ac:dyDescent="0.35">
      <c r="B47" s="463"/>
      <c r="C47" s="483"/>
      <c r="D47" s="498"/>
      <c r="E47" s="501"/>
      <c r="F47" s="504"/>
      <c r="G47" s="507"/>
      <c r="H47" s="495"/>
      <c r="I47" s="495"/>
      <c r="J47" s="504"/>
      <c r="K47" s="472"/>
      <c r="L47" s="442"/>
      <c r="M47" s="442"/>
      <c r="N47" s="442"/>
    </row>
    <row r="48" spans="2:14" ht="61.5" customHeight="1" x14ac:dyDescent="0.3">
      <c r="B48" s="249" t="str">
        <f>+LEFT(C48,4)</f>
        <v>11.1</v>
      </c>
      <c r="C48" s="225" t="s">
        <v>218</v>
      </c>
      <c r="D48" s="228" t="s">
        <v>219</v>
      </c>
      <c r="E48" s="449" t="s">
        <v>607</v>
      </c>
      <c r="F48" s="255">
        <v>3</v>
      </c>
      <c r="G48" s="110">
        <v>1</v>
      </c>
      <c r="H48" s="106" t="s">
        <v>608</v>
      </c>
      <c r="I48" s="231" t="s">
        <v>609</v>
      </c>
      <c r="J48" s="255">
        <v>3</v>
      </c>
      <c r="K48" s="284" t="str">
        <f t="shared" ref="K48:K72" si="4">+IF(OR(ISBLANK(F48),ISBLANK(J48)),"",IF(OR(AND(F48=1,J48=1),AND(F48=1,J48=2),AND(F48=1,J48=3)),"Deficiencia de control mayor (diseño y ejecución)",IF(OR(AND(F48=2,J48=2),AND(F48=3,J48=1),AND(F48=3,J48=2),AND(F48=2,J48=1)),"Deficiencia de control (diseño o ejecución)",IF(AND(F48=2,J48=3),"Oportunidad de mejora","Mantenimiento del control"))))</f>
        <v>Mantenimiento del control</v>
      </c>
      <c r="L48" s="268">
        <f t="shared" ref="L48" si="5">+IF(K48="",152,IF(K48="Deficiencia de control mayor (diseño y ejecución)",160,IF(K48="Deficiencia de control (diseño o ejecución)",180,IF(K48="Oportunidad de mejora",200,220))))</f>
        <v>220</v>
      </c>
      <c r="M48" s="444">
        <v>3.7896000000000001</v>
      </c>
      <c r="N48" s="444">
        <f>+L48+M48</f>
        <v>223.78960000000001</v>
      </c>
    </row>
    <row r="49" spans="2:14" ht="21" customHeight="1" x14ac:dyDescent="0.3">
      <c r="B49" s="250"/>
      <c r="C49" s="226"/>
      <c r="D49" s="229"/>
      <c r="E49" s="450"/>
      <c r="F49" s="256"/>
      <c r="G49" s="105">
        <v>2</v>
      </c>
      <c r="H49" s="105"/>
      <c r="I49" s="232"/>
      <c r="J49" s="256"/>
      <c r="K49" s="285"/>
      <c r="L49" s="268"/>
      <c r="M49" s="444"/>
      <c r="N49" s="444"/>
    </row>
    <row r="50" spans="2:14" ht="21" customHeight="1" x14ac:dyDescent="0.3">
      <c r="B50" s="250"/>
      <c r="C50" s="226"/>
      <c r="D50" s="229"/>
      <c r="E50" s="450"/>
      <c r="F50" s="256"/>
      <c r="G50" s="105">
        <v>3</v>
      </c>
      <c r="H50" s="105"/>
      <c r="I50" s="232"/>
      <c r="J50" s="256"/>
      <c r="K50" s="285"/>
      <c r="L50" s="268"/>
      <c r="M50" s="444"/>
      <c r="N50" s="444"/>
    </row>
    <row r="51" spans="2:14" ht="21" customHeight="1" x14ac:dyDescent="0.3">
      <c r="B51" s="250"/>
      <c r="C51" s="226"/>
      <c r="D51" s="229"/>
      <c r="E51" s="450"/>
      <c r="F51" s="256"/>
      <c r="G51" s="105">
        <v>4</v>
      </c>
      <c r="H51" s="105"/>
      <c r="I51" s="232"/>
      <c r="J51" s="256"/>
      <c r="K51" s="285"/>
      <c r="L51" s="268"/>
      <c r="M51" s="444"/>
      <c r="N51" s="444"/>
    </row>
    <row r="52" spans="2:14" ht="21" customHeight="1" x14ac:dyDescent="0.3">
      <c r="B52" s="250"/>
      <c r="C52" s="226"/>
      <c r="D52" s="229"/>
      <c r="E52" s="450"/>
      <c r="F52" s="256"/>
      <c r="G52" s="105">
        <v>5</v>
      </c>
      <c r="H52" s="105"/>
      <c r="I52" s="232"/>
      <c r="J52" s="256"/>
      <c r="K52" s="285"/>
      <c r="L52" s="268"/>
      <c r="M52" s="444"/>
      <c r="N52" s="444"/>
    </row>
    <row r="53" spans="2:14" ht="21" customHeight="1" x14ac:dyDescent="0.3">
      <c r="B53" s="250"/>
      <c r="C53" s="226"/>
      <c r="D53" s="229"/>
      <c r="E53" s="450"/>
      <c r="F53" s="256"/>
      <c r="G53" s="105">
        <v>6</v>
      </c>
      <c r="H53" s="105"/>
      <c r="I53" s="232"/>
      <c r="J53" s="256"/>
      <c r="K53" s="285"/>
      <c r="L53" s="268"/>
      <c r="M53" s="444"/>
      <c r="N53" s="444"/>
    </row>
    <row r="54" spans="2:14" ht="21" customHeight="1" x14ac:dyDescent="0.3">
      <c r="B54" s="250"/>
      <c r="C54" s="226"/>
      <c r="D54" s="229"/>
      <c r="E54" s="450"/>
      <c r="F54" s="256"/>
      <c r="G54" s="105">
        <v>7</v>
      </c>
      <c r="H54" s="105"/>
      <c r="I54" s="232"/>
      <c r="J54" s="256"/>
      <c r="K54" s="285"/>
      <c r="L54" s="268"/>
      <c r="M54" s="444"/>
      <c r="N54" s="444"/>
    </row>
    <row r="55" spans="2:14" ht="21" customHeight="1" thickBot="1" x14ac:dyDescent="0.35">
      <c r="B55" s="251"/>
      <c r="C55" s="227"/>
      <c r="D55" s="230"/>
      <c r="E55" s="451"/>
      <c r="F55" s="257"/>
      <c r="G55" s="109">
        <v>8</v>
      </c>
      <c r="H55" s="109"/>
      <c r="I55" s="233"/>
      <c r="J55" s="257"/>
      <c r="K55" s="286"/>
      <c r="L55" s="268"/>
      <c r="M55" s="444"/>
      <c r="N55" s="444"/>
    </row>
    <row r="56" spans="2:14" ht="60" customHeight="1" x14ac:dyDescent="0.3">
      <c r="B56" s="249" t="str">
        <f>+LEFT(C56,4)</f>
        <v>11.2</v>
      </c>
      <c r="C56" s="225" t="s">
        <v>220</v>
      </c>
      <c r="D56" s="228" t="s">
        <v>219</v>
      </c>
      <c r="E56" s="333" t="s">
        <v>611</v>
      </c>
      <c r="F56" s="255">
        <v>3</v>
      </c>
      <c r="G56" s="110">
        <v>1</v>
      </c>
      <c r="H56" s="149" t="s">
        <v>610</v>
      </c>
      <c r="I56" s="231" t="s">
        <v>613</v>
      </c>
      <c r="J56" s="255">
        <v>2</v>
      </c>
      <c r="K56" s="284" t="str">
        <f t="shared" si="4"/>
        <v>Deficiencia de control (diseño o ejecución)</v>
      </c>
      <c r="L56" s="268">
        <f t="shared" ref="L56" si="6">+IF(K56="",152,IF(K56="Deficiencia de control mayor (diseño y ejecución)",160,IF(K56="Deficiencia de control (diseño o ejecución)",180,IF(K56="Oportunidad de mejora",200,220))))</f>
        <v>180</v>
      </c>
      <c r="M56" s="444">
        <v>3.8456000000000001</v>
      </c>
      <c r="N56" s="444">
        <f>+L56+M56</f>
        <v>183.84559999999999</v>
      </c>
    </row>
    <row r="57" spans="2:14" ht="42.95" customHeight="1" x14ac:dyDescent="0.3">
      <c r="B57" s="250"/>
      <c r="C57" s="226"/>
      <c r="D57" s="229"/>
      <c r="E57" s="416"/>
      <c r="F57" s="256"/>
      <c r="G57" s="105">
        <v>2</v>
      </c>
      <c r="H57" s="149" t="s">
        <v>612</v>
      </c>
      <c r="I57" s="232"/>
      <c r="J57" s="256"/>
      <c r="K57" s="285"/>
      <c r="L57" s="268"/>
      <c r="M57" s="444"/>
      <c r="N57" s="444"/>
    </row>
    <row r="58" spans="2:14" ht="21.75" customHeight="1" x14ac:dyDescent="0.3">
      <c r="B58" s="250"/>
      <c r="C58" s="226"/>
      <c r="D58" s="229"/>
      <c r="E58" s="416"/>
      <c r="F58" s="256"/>
      <c r="G58" s="105">
        <v>3</v>
      </c>
      <c r="H58" s="105"/>
      <c r="I58" s="232"/>
      <c r="J58" s="256"/>
      <c r="K58" s="285"/>
      <c r="L58" s="268"/>
      <c r="M58" s="444"/>
      <c r="N58" s="444"/>
    </row>
    <row r="59" spans="2:14" ht="21.75" customHeight="1" x14ac:dyDescent="0.3">
      <c r="B59" s="250"/>
      <c r="C59" s="226"/>
      <c r="D59" s="229"/>
      <c r="E59" s="416"/>
      <c r="F59" s="256"/>
      <c r="G59" s="105">
        <v>4</v>
      </c>
      <c r="H59" s="105"/>
      <c r="I59" s="232"/>
      <c r="J59" s="256"/>
      <c r="K59" s="285"/>
      <c r="L59" s="268"/>
      <c r="M59" s="444"/>
      <c r="N59" s="444"/>
    </row>
    <row r="60" spans="2:14" ht="21.75" customHeight="1" x14ac:dyDescent="0.3">
      <c r="B60" s="250"/>
      <c r="C60" s="226"/>
      <c r="D60" s="229"/>
      <c r="E60" s="416"/>
      <c r="F60" s="256"/>
      <c r="G60" s="105">
        <v>5</v>
      </c>
      <c r="H60" s="105"/>
      <c r="I60" s="232"/>
      <c r="J60" s="256"/>
      <c r="K60" s="285"/>
      <c r="L60" s="268"/>
      <c r="M60" s="444"/>
      <c r="N60" s="444"/>
    </row>
    <row r="61" spans="2:14" ht="21.75" customHeight="1" x14ac:dyDescent="0.3">
      <c r="B61" s="250"/>
      <c r="C61" s="226"/>
      <c r="D61" s="229"/>
      <c r="E61" s="416"/>
      <c r="F61" s="256"/>
      <c r="G61" s="105">
        <v>6</v>
      </c>
      <c r="H61" s="105"/>
      <c r="I61" s="232"/>
      <c r="J61" s="256"/>
      <c r="K61" s="285"/>
      <c r="L61" s="268"/>
      <c r="M61" s="444"/>
      <c r="N61" s="444"/>
    </row>
    <row r="62" spans="2:14" ht="21.75" customHeight="1" x14ac:dyDescent="0.3">
      <c r="B62" s="250"/>
      <c r="C62" s="226"/>
      <c r="D62" s="229"/>
      <c r="E62" s="416"/>
      <c r="F62" s="256"/>
      <c r="G62" s="105">
        <v>7</v>
      </c>
      <c r="H62" s="105"/>
      <c r="I62" s="232"/>
      <c r="J62" s="256"/>
      <c r="K62" s="285"/>
      <c r="L62" s="268"/>
      <c r="M62" s="444"/>
      <c r="N62" s="444"/>
    </row>
    <row r="63" spans="2:14" ht="21.75" customHeight="1" thickBot="1" x14ac:dyDescent="0.35">
      <c r="B63" s="251"/>
      <c r="C63" s="227"/>
      <c r="D63" s="230"/>
      <c r="E63" s="417"/>
      <c r="F63" s="257"/>
      <c r="G63" s="109">
        <v>8</v>
      </c>
      <c r="H63" s="109"/>
      <c r="I63" s="233"/>
      <c r="J63" s="257"/>
      <c r="K63" s="286"/>
      <c r="L63" s="268"/>
      <c r="M63" s="444"/>
      <c r="N63" s="444"/>
    </row>
    <row r="64" spans="2:14" ht="66.75" customHeight="1" x14ac:dyDescent="0.3">
      <c r="B64" s="249" t="str">
        <f>+LEFT(C64,4)</f>
        <v>11.3</v>
      </c>
      <c r="C64" s="225" t="s">
        <v>221</v>
      </c>
      <c r="D64" s="228" t="s">
        <v>222</v>
      </c>
      <c r="E64" s="231" t="s">
        <v>614</v>
      </c>
      <c r="F64" s="255">
        <v>3</v>
      </c>
      <c r="G64" s="110">
        <v>1</v>
      </c>
      <c r="H64" s="106" t="s">
        <v>615</v>
      </c>
      <c r="I64" s="231" t="s">
        <v>618</v>
      </c>
      <c r="J64" s="255">
        <v>3</v>
      </c>
      <c r="K64" s="284" t="str">
        <f t="shared" si="4"/>
        <v>Mantenimiento del control</v>
      </c>
      <c r="L64" s="268">
        <f t="shared" ref="L64" si="7">+IF(K64="",152,IF(K64="Deficiencia de control mayor (diseño y ejecución)",160,IF(K64="Deficiencia de control (diseño o ejecución)",180,IF(K64="Oportunidad de mejora",200,220))))</f>
        <v>220</v>
      </c>
      <c r="M64" s="444">
        <v>3.9653999999999998</v>
      </c>
      <c r="N64" s="444">
        <f>+L64+M64</f>
        <v>223.96539999999999</v>
      </c>
    </row>
    <row r="65" spans="2:14" ht="41.1" customHeight="1" x14ac:dyDescent="0.3">
      <c r="B65" s="250"/>
      <c r="C65" s="226"/>
      <c r="D65" s="229"/>
      <c r="E65" s="232"/>
      <c r="F65" s="256"/>
      <c r="G65" s="105">
        <v>2</v>
      </c>
      <c r="H65" s="149" t="s">
        <v>616</v>
      </c>
      <c r="I65" s="232"/>
      <c r="J65" s="256"/>
      <c r="K65" s="285"/>
      <c r="L65" s="268"/>
      <c r="M65" s="444"/>
      <c r="N65" s="444"/>
    </row>
    <row r="66" spans="2:14" ht="39.950000000000003" customHeight="1" x14ac:dyDescent="0.3">
      <c r="B66" s="250"/>
      <c r="C66" s="226"/>
      <c r="D66" s="229"/>
      <c r="E66" s="232"/>
      <c r="F66" s="256"/>
      <c r="G66" s="105">
        <v>3</v>
      </c>
      <c r="H66" s="149" t="s">
        <v>617</v>
      </c>
      <c r="I66" s="232"/>
      <c r="J66" s="256"/>
      <c r="K66" s="285"/>
      <c r="L66" s="268"/>
      <c r="M66" s="444"/>
      <c r="N66" s="444"/>
    </row>
    <row r="67" spans="2:14" ht="21.75" customHeight="1" x14ac:dyDescent="0.3">
      <c r="B67" s="250"/>
      <c r="C67" s="226"/>
      <c r="D67" s="229"/>
      <c r="E67" s="232"/>
      <c r="F67" s="256"/>
      <c r="G67" s="105">
        <v>4</v>
      </c>
      <c r="H67" s="105"/>
      <c r="I67" s="232"/>
      <c r="J67" s="256"/>
      <c r="K67" s="285"/>
      <c r="L67" s="268"/>
      <c r="M67" s="444"/>
      <c r="N67" s="444"/>
    </row>
    <row r="68" spans="2:14" ht="21.75" customHeight="1" x14ac:dyDescent="0.3">
      <c r="B68" s="250"/>
      <c r="C68" s="226"/>
      <c r="D68" s="229"/>
      <c r="E68" s="232"/>
      <c r="F68" s="256"/>
      <c r="G68" s="105">
        <v>5</v>
      </c>
      <c r="H68" s="105"/>
      <c r="I68" s="232"/>
      <c r="J68" s="256"/>
      <c r="K68" s="285"/>
      <c r="L68" s="268"/>
      <c r="M68" s="444"/>
      <c r="N68" s="444"/>
    </row>
    <row r="69" spans="2:14" ht="21.75" customHeight="1" x14ac:dyDescent="0.3">
      <c r="B69" s="250"/>
      <c r="C69" s="226"/>
      <c r="D69" s="229"/>
      <c r="E69" s="232"/>
      <c r="F69" s="256"/>
      <c r="G69" s="105">
        <v>6</v>
      </c>
      <c r="H69" s="105"/>
      <c r="I69" s="232"/>
      <c r="J69" s="256"/>
      <c r="K69" s="285"/>
      <c r="L69" s="268"/>
      <c r="M69" s="444"/>
      <c r="N69" s="444"/>
    </row>
    <row r="70" spans="2:14" ht="21.75" customHeight="1" x14ac:dyDescent="0.3">
      <c r="B70" s="250"/>
      <c r="C70" s="226"/>
      <c r="D70" s="229"/>
      <c r="E70" s="232"/>
      <c r="F70" s="256"/>
      <c r="G70" s="105">
        <v>7</v>
      </c>
      <c r="H70" s="105"/>
      <c r="I70" s="232"/>
      <c r="J70" s="256"/>
      <c r="K70" s="285"/>
      <c r="L70" s="268"/>
      <c r="M70" s="444"/>
      <c r="N70" s="444"/>
    </row>
    <row r="71" spans="2:14" ht="21.75" customHeight="1" thickBot="1" x14ac:dyDescent="0.35">
      <c r="B71" s="251"/>
      <c r="C71" s="227"/>
      <c r="D71" s="230"/>
      <c r="E71" s="233"/>
      <c r="F71" s="257"/>
      <c r="G71" s="109">
        <v>8</v>
      </c>
      <c r="H71" s="109"/>
      <c r="I71" s="233"/>
      <c r="J71" s="257"/>
      <c r="K71" s="286"/>
      <c r="L71" s="268"/>
      <c r="M71" s="444"/>
      <c r="N71" s="444"/>
    </row>
    <row r="72" spans="2:14" ht="49.5" x14ac:dyDescent="0.3">
      <c r="B72" s="249" t="str">
        <f>+LEFT(C72,4)</f>
        <v>11.4</v>
      </c>
      <c r="C72" s="225" t="s">
        <v>223</v>
      </c>
      <c r="D72" s="228" t="s">
        <v>224</v>
      </c>
      <c r="E72" s="333" t="s">
        <v>619</v>
      </c>
      <c r="F72" s="255">
        <v>3</v>
      </c>
      <c r="G72" s="110">
        <v>1</v>
      </c>
      <c r="H72" s="106" t="s">
        <v>461</v>
      </c>
      <c r="I72" s="231" t="s">
        <v>620</v>
      </c>
      <c r="J72" s="255">
        <v>3</v>
      </c>
      <c r="K72" s="284" t="str">
        <f t="shared" si="4"/>
        <v>Mantenimiento del control</v>
      </c>
      <c r="L72" s="268">
        <f t="shared" ref="L72" si="8">+IF(K72="",152,IF(K72="Deficiencia de control mayor (diseño y ejecución)",160,IF(K72="Deficiencia de control (diseño o ejecución)",180,IF(K72="Oportunidad de mejora",200,220))))</f>
        <v>220</v>
      </c>
      <c r="M72" s="444">
        <v>4.0122999999999998</v>
      </c>
      <c r="N72" s="444">
        <f>+L72+M72</f>
        <v>224.01230000000001</v>
      </c>
    </row>
    <row r="73" spans="2:14" ht="16.5" x14ac:dyDescent="0.3">
      <c r="B73" s="250"/>
      <c r="C73" s="226"/>
      <c r="D73" s="229"/>
      <c r="E73" s="416"/>
      <c r="F73" s="256"/>
      <c r="G73" s="105">
        <v>2</v>
      </c>
      <c r="H73" s="105"/>
      <c r="I73" s="232"/>
      <c r="J73" s="256"/>
      <c r="K73" s="285"/>
      <c r="L73" s="268"/>
      <c r="M73" s="444"/>
      <c r="N73" s="444"/>
    </row>
    <row r="74" spans="2:14" ht="16.5" x14ac:dyDescent="0.3">
      <c r="B74" s="250"/>
      <c r="C74" s="226"/>
      <c r="D74" s="229"/>
      <c r="E74" s="416"/>
      <c r="F74" s="256"/>
      <c r="G74" s="105">
        <v>3</v>
      </c>
      <c r="H74" s="105"/>
      <c r="I74" s="232"/>
      <c r="J74" s="256"/>
      <c r="K74" s="285"/>
      <c r="L74" s="268"/>
      <c r="M74" s="444"/>
      <c r="N74" s="444"/>
    </row>
    <row r="75" spans="2:14" ht="16.5" x14ac:dyDescent="0.3">
      <c r="B75" s="250"/>
      <c r="C75" s="226"/>
      <c r="D75" s="229"/>
      <c r="E75" s="416"/>
      <c r="F75" s="256"/>
      <c r="G75" s="105">
        <v>4</v>
      </c>
      <c r="H75" s="105"/>
      <c r="I75" s="232"/>
      <c r="J75" s="256"/>
      <c r="K75" s="285"/>
      <c r="L75" s="268"/>
      <c r="M75" s="444"/>
      <c r="N75" s="444"/>
    </row>
    <row r="76" spans="2:14" ht="16.5" x14ac:dyDescent="0.3">
      <c r="B76" s="250"/>
      <c r="C76" s="226"/>
      <c r="D76" s="229"/>
      <c r="E76" s="416"/>
      <c r="F76" s="256"/>
      <c r="G76" s="105">
        <v>5</v>
      </c>
      <c r="H76" s="105"/>
      <c r="I76" s="232"/>
      <c r="J76" s="256"/>
      <c r="K76" s="285"/>
      <c r="L76" s="268"/>
      <c r="M76" s="444"/>
      <c r="N76" s="444"/>
    </row>
    <row r="77" spans="2:14" ht="16.5" x14ac:dyDescent="0.3">
      <c r="B77" s="250"/>
      <c r="C77" s="226"/>
      <c r="D77" s="229"/>
      <c r="E77" s="416"/>
      <c r="F77" s="256"/>
      <c r="G77" s="105">
        <v>6</v>
      </c>
      <c r="H77" s="105"/>
      <c r="I77" s="232"/>
      <c r="J77" s="256"/>
      <c r="K77" s="285"/>
      <c r="L77" s="268"/>
      <c r="M77" s="444"/>
      <c r="N77" s="444"/>
    </row>
    <row r="78" spans="2:14" ht="16.5" x14ac:dyDescent="0.3">
      <c r="B78" s="250"/>
      <c r="C78" s="226"/>
      <c r="D78" s="229"/>
      <c r="E78" s="416"/>
      <c r="F78" s="256"/>
      <c r="G78" s="105">
        <v>7</v>
      </c>
      <c r="H78" s="105"/>
      <c r="I78" s="232"/>
      <c r="J78" s="256"/>
      <c r="K78" s="285"/>
      <c r="L78" s="268"/>
      <c r="M78" s="444"/>
      <c r="N78" s="444"/>
    </row>
    <row r="79" spans="2:14" ht="38.1" customHeight="1" thickBot="1" x14ac:dyDescent="0.35">
      <c r="B79" s="251"/>
      <c r="C79" s="227"/>
      <c r="D79" s="230"/>
      <c r="E79" s="417"/>
      <c r="F79" s="257"/>
      <c r="G79" s="109">
        <v>8</v>
      </c>
      <c r="H79" s="109"/>
      <c r="I79" s="233"/>
      <c r="J79" s="257"/>
      <c r="K79" s="286"/>
      <c r="L79" s="268"/>
      <c r="M79" s="444"/>
      <c r="N79" s="444"/>
    </row>
    <row r="80" spans="2:14" ht="22.5" customHeight="1" x14ac:dyDescent="0.3">
      <c r="B80" s="455"/>
      <c r="C80" s="455" t="s">
        <v>225</v>
      </c>
      <c r="D80" s="496" t="s">
        <v>8</v>
      </c>
      <c r="E80" s="499" t="s">
        <v>211</v>
      </c>
      <c r="F80" s="488" t="s">
        <v>175</v>
      </c>
      <c r="G80" s="492" t="s">
        <v>115</v>
      </c>
      <c r="H80" s="493"/>
      <c r="I80" s="493"/>
      <c r="J80" s="488" t="s">
        <v>212</v>
      </c>
      <c r="K80" s="465" t="s">
        <v>135</v>
      </c>
      <c r="L80" s="442"/>
      <c r="M80" s="442"/>
      <c r="N80" s="442"/>
    </row>
    <row r="81" spans="2:14" ht="22.5" customHeight="1" x14ac:dyDescent="0.3">
      <c r="B81" s="456"/>
      <c r="C81" s="456"/>
      <c r="D81" s="497"/>
      <c r="E81" s="500"/>
      <c r="F81" s="488"/>
      <c r="G81" s="490" t="s">
        <v>13</v>
      </c>
      <c r="H81" s="494" t="s">
        <v>15</v>
      </c>
      <c r="I81" s="494" t="s">
        <v>17</v>
      </c>
      <c r="J81" s="488"/>
      <c r="K81" s="465"/>
      <c r="L81" s="442"/>
      <c r="M81" s="442"/>
      <c r="N81" s="442"/>
    </row>
    <row r="82" spans="2:14" ht="75" customHeight="1" thickBot="1" x14ac:dyDescent="0.35">
      <c r="B82" s="457"/>
      <c r="C82" s="457"/>
      <c r="D82" s="498"/>
      <c r="E82" s="501"/>
      <c r="F82" s="489"/>
      <c r="G82" s="491"/>
      <c r="H82" s="495"/>
      <c r="I82" s="495"/>
      <c r="J82" s="489"/>
      <c r="K82" s="466"/>
      <c r="L82" s="442"/>
      <c r="M82" s="442"/>
      <c r="N82" s="442"/>
    </row>
    <row r="83" spans="2:14" ht="54.75" customHeight="1" x14ac:dyDescent="0.3">
      <c r="B83" s="249" t="str">
        <f>+LEFT(C83,4)</f>
        <v>12.1</v>
      </c>
      <c r="C83" s="225" t="s">
        <v>226</v>
      </c>
      <c r="D83" s="228" t="s">
        <v>227</v>
      </c>
      <c r="E83" s="333" t="s">
        <v>450</v>
      </c>
      <c r="F83" s="255">
        <v>3</v>
      </c>
      <c r="G83" s="110">
        <v>1</v>
      </c>
      <c r="H83" s="106" t="s">
        <v>621</v>
      </c>
      <c r="I83" s="231" t="s">
        <v>623</v>
      </c>
      <c r="J83" s="255">
        <v>3</v>
      </c>
      <c r="K83" s="284" t="str">
        <f t="shared" ref="K83:K115" si="9">+IF(OR(ISBLANK(F83),ISBLANK(J83)),"",IF(OR(AND(F83=1,J83=1),AND(F83=1,J83=2),AND(F83=1,J83=3)),"Deficiencia de control mayor (diseño y ejecución)",IF(OR(AND(F83=2,J83=2),AND(F83=3,J83=1),AND(F83=3,J83=2),AND(F83=2,J83=1)),"Deficiencia de control (diseño o ejecución)",IF(AND(F83=2,J83=3),"Oportunidad de mejora","Mantenimiento del control"))))</f>
        <v>Mantenimiento del control</v>
      </c>
      <c r="L83" s="268">
        <f t="shared" ref="L83" si="10">+IF(K83="",152,IF(K83="Deficiencia de control mayor (diseño y ejecución)",160,IF(K83="Deficiencia de control (diseño o ejecución)",180,IF(K83="Oportunidad de mejora",200,220))))</f>
        <v>220</v>
      </c>
      <c r="M83" s="444">
        <v>4.1235999999999997</v>
      </c>
      <c r="N83" s="444">
        <f>+L83+M83</f>
        <v>224.12360000000001</v>
      </c>
    </row>
    <row r="84" spans="2:14" ht="28.5" customHeight="1" x14ac:dyDescent="0.3">
      <c r="B84" s="250"/>
      <c r="C84" s="226"/>
      <c r="D84" s="229"/>
      <c r="E84" s="416"/>
      <c r="F84" s="256"/>
      <c r="G84" s="105">
        <v>2</v>
      </c>
      <c r="H84" s="149" t="s">
        <v>622</v>
      </c>
      <c r="I84" s="238"/>
      <c r="J84" s="256"/>
      <c r="K84" s="285"/>
      <c r="L84" s="268"/>
      <c r="M84" s="444"/>
      <c r="N84" s="444"/>
    </row>
    <row r="85" spans="2:14" ht="28.5" customHeight="1" x14ac:dyDescent="0.3">
      <c r="B85" s="250"/>
      <c r="C85" s="226"/>
      <c r="D85" s="229"/>
      <c r="E85" s="416"/>
      <c r="F85" s="256"/>
      <c r="G85" s="105">
        <v>3</v>
      </c>
      <c r="H85" s="105"/>
      <c r="I85" s="238"/>
      <c r="J85" s="256"/>
      <c r="K85" s="285"/>
      <c r="L85" s="268"/>
      <c r="M85" s="444"/>
      <c r="N85" s="444"/>
    </row>
    <row r="86" spans="2:14" ht="28.5" customHeight="1" x14ac:dyDescent="0.3">
      <c r="B86" s="250"/>
      <c r="C86" s="226"/>
      <c r="D86" s="229"/>
      <c r="E86" s="416"/>
      <c r="F86" s="256"/>
      <c r="G86" s="105">
        <v>4</v>
      </c>
      <c r="H86" s="105"/>
      <c r="I86" s="238"/>
      <c r="J86" s="256"/>
      <c r="K86" s="285"/>
      <c r="L86" s="268"/>
      <c r="M86" s="444"/>
      <c r="N86" s="444"/>
    </row>
    <row r="87" spans="2:14" ht="28.5" customHeight="1" x14ac:dyDescent="0.3">
      <c r="B87" s="250"/>
      <c r="C87" s="226"/>
      <c r="D87" s="229"/>
      <c r="E87" s="416"/>
      <c r="F87" s="256"/>
      <c r="G87" s="105">
        <v>5</v>
      </c>
      <c r="H87" s="105"/>
      <c r="I87" s="238"/>
      <c r="J87" s="256"/>
      <c r="K87" s="285"/>
      <c r="L87" s="268"/>
      <c r="M87" s="444"/>
      <c r="N87" s="444"/>
    </row>
    <row r="88" spans="2:14" ht="28.5" customHeight="1" x14ac:dyDescent="0.3">
      <c r="B88" s="250"/>
      <c r="C88" s="226"/>
      <c r="D88" s="229"/>
      <c r="E88" s="416"/>
      <c r="F88" s="256"/>
      <c r="G88" s="105">
        <v>6</v>
      </c>
      <c r="H88" s="105"/>
      <c r="I88" s="238"/>
      <c r="J88" s="256"/>
      <c r="K88" s="285"/>
      <c r="L88" s="268"/>
      <c r="M88" s="444"/>
      <c r="N88" s="444"/>
    </row>
    <row r="89" spans="2:14" ht="28.5" customHeight="1" x14ac:dyDescent="0.3">
      <c r="B89" s="250"/>
      <c r="C89" s="226"/>
      <c r="D89" s="229"/>
      <c r="E89" s="416"/>
      <c r="F89" s="256"/>
      <c r="G89" s="105">
        <v>7</v>
      </c>
      <c r="H89" s="105"/>
      <c r="I89" s="238"/>
      <c r="J89" s="256"/>
      <c r="K89" s="285"/>
      <c r="L89" s="268"/>
      <c r="M89" s="444"/>
      <c r="N89" s="444"/>
    </row>
    <row r="90" spans="2:14" ht="28.5" customHeight="1" thickBot="1" x14ac:dyDescent="0.35">
      <c r="B90" s="251"/>
      <c r="C90" s="227"/>
      <c r="D90" s="230"/>
      <c r="E90" s="417"/>
      <c r="F90" s="257"/>
      <c r="G90" s="109">
        <v>8</v>
      </c>
      <c r="H90" s="109"/>
      <c r="I90" s="239"/>
      <c r="J90" s="257"/>
      <c r="K90" s="286"/>
      <c r="L90" s="268"/>
      <c r="M90" s="444"/>
      <c r="N90" s="444"/>
    </row>
    <row r="91" spans="2:14" ht="33" x14ac:dyDescent="0.3">
      <c r="B91" s="249" t="str">
        <f>+LEFT(C91,4)</f>
        <v>12.2</v>
      </c>
      <c r="C91" s="225" t="s">
        <v>228</v>
      </c>
      <c r="D91" s="228" t="s">
        <v>229</v>
      </c>
      <c r="E91" s="333" t="s">
        <v>468</v>
      </c>
      <c r="F91" s="255">
        <v>3</v>
      </c>
      <c r="G91" s="110">
        <v>1</v>
      </c>
      <c r="H91" s="106" t="s">
        <v>624</v>
      </c>
      <c r="I91" s="231" t="s">
        <v>623</v>
      </c>
      <c r="J91" s="255">
        <v>3</v>
      </c>
      <c r="K91" s="284" t="str">
        <f t="shared" si="9"/>
        <v>Mantenimiento del control</v>
      </c>
      <c r="L91" s="268">
        <f t="shared" ref="L91" si="11">+IF(K91="",152,IF(K91="Deficiencia de control mayor (diseño y ejecución)",160,IF(K91="Deficiencia de control (diseño o ejecución)",180,IF(K91="Oportunidad de mejora",200,220))))</f>
        <v>220</v>
      </c>
      <c r="M91" s="444">
        <v>4.2365000000000004</v>
      </c>
      <c r="N91" s="508">
        <f>+L91+M91</f>
        <v>224.23650000000001</v>
      </c>
    </row>
    <row r="92" spans="2:14" ht="33" x14ac:dyDescent="0.3">
      <c r="B92" s="250"/>
      <c r="C92" s="226"/>
      <c r="D92" s="229"/>
      <c r="E92" s="416"/>
      <c r="F92" s="256"/>
      <c r="G92" s="105">
        <v>2</v>
      </c>
      <c r="H92" s="149" t="s">
        <v>625</v>
      </c>
      <c r="I92" s="238"/>
      <c r="J92" s="256"/>
      <c r="K92" s="285"/>
      <c r="L92" s="268"/>
      <c r="M92" s="444"/>
      <c r="N92" s="508"/>
    </row>
    <row r="93" spans="2:14" ht="16.5" x14ac:dyDescent="0.3">
      <c r="B93" s="250"/>
      <c r="C93" s="226"/>
      <c r="D93" s="229"/>
      <c r="E93" s="416"/>
      <c r="F93" s="256"/>
      <c r="G93" s="105">
        <v>3</v>
      </c>
      <c r="H93" s="105"/>
      <c r="I93" s="238"/>
      <c r="J93" s="256"/>
      <c r="K93" s="285"/>
      <c r="L93" s="268"/>
      <c r="M93" s="444"/>
      <c r="N93" s="508"/>
    </row>
    <row r="94" spans="2:14" ht="16.5" x14ac:dyDescent="0.3">
      <c r="B94" s="250"/>
      <c r="C94" s="226"/>
      <c r="D94" s="229"/>
      <c r="E94" s="416"/>
      <c r="F94" s="256"/>
      <c r="G94" s="105">
        <v>4</v>
      </c>
      <c r="H94" s="105"/>
      <c r="I94" s="238"/>
      <c r="J94" s="256"/>
      <c r="K94" s="285"/>
      <c r="L94" s="268"/>
      <c r="M94" s="444"/>
      <c r="N94" s="508"/>
    </row>
    <row r="95" spans="2:14" ht="16.5" x14ac:dyDescent="0.3">
      <c r="B95" s="250"/>
      <c r="C95" s="226"/>
      <c r="D95" s="229"/>
      <c r="E95" s="416"/>
      <c r="F95" s="256"/>
      <c r="G95" s="105">
        <v>5</v>
      </c>
      <c r="H95" s="105"/>
      <c r="I95" s="238"/>
      <c r="J95" s="256"/>
      <c r="K95" s="285"/>
      <c r="L95" s="268"/>
      <c r="M95" s="444"/>
      <c r="N95" s="508"/>
    </row>
    <row r="96" spans="2:14" ht="16.5" x14ac:dyDescent="0.3">
      <c r="B96" s="250"/>
      <c r="C96" s="226"/>
      <c r="D96" s="229"/>
      <c r="E96" s="416"/>
      <c r="F96" s="256"/>
      <c r="G96" s="105">
        <v>6</v>
      </c>
      <c r="H96" s="105"/>
      <c r="I96" s="238"/>
      <c r="J96" s="256"/>
      <c r="K96" s="285"/>
      <c r="L96" s="268"/>
      <c r="M96" s="444"/>
      <c r="N96" s="508"/>
    </row>
    <row r="97" spans="2:14" ht="16.5" x14ac:dyDescent="0.3">
      <c r="B97" s="250"/>
      <c r="C97" s="226"/>
      <c r="D97" s="229"/>
      <c r="E97" s="416"/>
      <c r="F97" s="256"/>
      <c r="G97" s="105">
        <v>7</v>
      </c>
      <c r="H97" s="105"/>
      <c r="I97" s="238"/>
      <c r="J97" s="256"/>
      <c r="K97" s="285"/>
      <c r="L97" s="268"/>
      <c r="M97" s="444"/>
      <c r="N97" s="508"/>
    </row>
    <row r="98" spans="2:14" ht="17.25" thickBot="1" x14ac:dyDescent="0.35">
      <c r="B98" s="251"/>
      <c r="C98" s="227"/>
      <c r="D98" s="230"/>
      <c r="E98" s="417"/>
      <c r="F98" s="257"/>
      <c r="G98" s="109">
        <v>8</v>
      </c>
      <c r="H98" s="109"/>
      <c r="I98" s="239"/>
      <c r="J98" s="257"/>
      <c r="K98" s="286"/>
      <c r="L98" s="268"/>
      <c r="M98" s="444"/>
      <c r="N98" s="508"/>
    </row>
    <row r="99" spans="2:14" ht="49.5" x14ac:dyDescent="0.3">
      <c r="B99" s="249" t="str">
        <f>+LEFT(C99,4)</f>
        <v>12.3</v>
      </c>
      <c r="C99" s="452" t="s">
        <v>230</v>
      </c>
      <c r="D99" s="228" t="s">
        <v>231</v>
      </c>
      <c r="E99" s="231" t="s">
        <v>469</v>
      </c>
      <c r="F99" s="255">
        <v>3</v>
      </c>
      <c r="G99" s="110">
        <v>1</v>
      </c>
      <c r="H99" s="106" t="s">
        <v>461</v>
      </c>
      <c r="I99" s="231" t="s">
        <v>467</v>
      </c>
      <c r="J99" s="255">
        <v>3</v>
      </c>
      <c r="K99" s="284" t="str">
        <f t="shared" si="9"/>
        <v>Mantenimiento del control</v>
      </c>
      <c r="L99" s="268">
        <f t="shared" ref="L99" si="12">+IF(K99="",152,IF(K99="Deficiencia de control mayor (diseño y ejecución)",160,IF(K99="Deficiencia de control (diseño o ejecución)",180,IF(K99="Oportunidad de mejora",200,220))))</f>
        <v>220</v>
      </c>
      <c r="M99" s="444">
        <v>4.2365599999999999</v>
      </c>
      <c r="N99" s="508">
        <f>+L99+M99</f>
        <v>224.23656</v>
      </c>
    </row>
    <row r="100" spans="2:14" ht="16.5" x14ac:dyDescent="0.3">
      <c r="B100" s="250"/>
      <c r="C100" s="453"/>
      <c r="D100" s="229"/>
      <c r="E100" s="232"/>
      <c r="F100" s="256"/>
      <c r="G100" s="105">
        <v>2</v>
      </c>
      <c r="H100" s="105"/>
      <c r="I100" s="238"/>
      <c r="J100" s="256"/>
      <c r="K100" s="285"/>
      <c r="L100" s="268"/>
      <c r="M100" s="444"/>
      <c r="N100" s="508"/>
    </row>
    <row r="101" spans="2:14" ht="16.5" x14ac:dyDescent="0.3">
      <c r="B101" s="250"/>
      <c r="C101" s="453"/>
      <c r="D101" s="229"/>
      <c r="E101" s="232"/>
      <c r="F101" s="256"/>
      <c r="G101" s="105">
        <v>3</v>
      </c>
      <c r="H101" s="105"/>
      <c r="I101" s="238"/>
      <c r="J101" s="256"/>
      <c r="K101" s="285"/>
      <c r="L101" s="268"/>
      <c r="M101" s="444"/>
      <c r="N101" s="508"/>
    </row>
    <row r="102" spans="2:14" ht="16.5" x14ac:dyDescent="0.3">
      <c r="B102" s="250"/>
      <c r="C102" s="453"/>
      <c r="D102" s="229"/>
      <c r="E102" s="232"/>
      <c r="F102" s="256"/>
      <c r="G102" s="105">
        <v>4</v>
      </c>
      <c r="H102" s="105"/>
      <c r="I102" s="238"/>
      <c r="J102" s="256"/>
      <c r="K102" s="285"/>
      <c r="L102" s="268"/>
      <c r="M102" s="444"/>
      <c r="N102" s="508"/>
    </row>
    <row r="103" spans="2:14" ht="16.5" x14ac:dyDescent="0.3">
      <c r="B103" s="250"/>
      <c r="C103" s="453"/>
      <c r="D103" s="229"/>
      <c r="E103" s="232"/>
      <c r="F103" s="256"/>
      <c r="G103" s="105">
        <v>5</v>
      </c>
      <c r="H103" s="105"/>
      <c r="I103" s="238"/>
      <c r="J103" s="256"/>
      <c r="K103" s="285"/>
      <c r="L103" s="268"/>
      <c r="M103" s="444"/>
      <c r="N103" s="508"/>
    </row>
    <row r="104" spans="2:14" ht="16.5" x14ac:dyDescent="0.3">
      <c r="B104" s="250"/>
      <c r="C104" s="453"/>
      <c r="D104" s="229"/>
      <c r="E104" s="232"/>
      <c r="F104" s="256"/>
      <c r="G104" s="105">
        <v>6</v>
      </c>
      <c r="H104" s="105"/>
      <c r="I104" s="238"/>
      <c r="J104" s="256"/>
      <c r="K104" s="285"/>
      <c r="L104" s="268"/>
      <c r="M104" s="444"/>
      <c r="N104" s="508"/>
    </row>
    <row r="105" spans="2:14" ht="16.5" x14ac:dyDescent="0.3">
      <c r="B105" s="250"/>
      <c r="C105" s="453"/>
      <c r="D105" s="229"/>
      <c r="E105" s="232"/>
      <c r="F105" s="256"/>
      <c r="G105" s="105">
        <v>7</v>
      </c>
      <c r="H105" s="105"/>
      <c r="I105" s="238"/>
      <c r="J105" s="256"/>
      <c r="K105" s="285"/>
      <c r="L105" s="268"/>
      <c r="M105" s="444"/>
      <c r="N105" s="508"/>
    </row>
    <row r="106" spans="2:14" ht="17.25" thickBot="1" x14ac:dyDescent="0.35">
      <c r="B106" s="251"/>
      <c r="C106" s="454"/>
      <c r="D106" s="230"/>
      <c r="E106" s="233"/>
      <c r="F106" s="257"/>
      <c r="G106" s="109">
        <v>8</v>
      </c>
      <c r="H106" s="109"/>
      <c r="I106" s="239"/>
      <c r="J106" s="257"/>
      <c r="K106" s="286"/>
      <c r="L106" s="268"/>
      <c r="M106" s="444"/>
      <c r="N106" s="508"/>
    </row>
    <row r="107" spans="2:14" ht="33" x14ac:dyDescent="0.3">
      <c r="B107" s="249" t="str">
        <f>+LEFT(C107,4)</f>
        <v>12.4</v>
      </c>
      <c r="C107" s="452" t="s">
        <v>232</v>
      </c>
      <c r="D107" s="228" t="s">
        <v>233</v>
      </c>
      <c r="E107" s="231" t="s">
        <v>470</v>
      </c>
      <c r="F107" s="255">
        <v>3</v>
      </c>
      <c r="G107" s="110">
        <v>1</v>
      </c>
      <c r="H107" s="106" t="s">
        <v>626</v>
      </c>
      <c r="I107" s="231" t="s">
        <v>628</v>
      </c>
      <c r="J107" s="255">
        <v>3</v>
      </c>
      <c r="K107" s="284" t="str">
        <f t="shared" si="9"/>
        <v>Mantenimiento del control</v>
      </c>
      <c r="L107" s="268">
        <f t="shared" ref="L107" si="13">+IF(K107="",152,IF(K107="Deficiencia de control mayor (diseño y ejecución)",160,IF(K107="Deficiencia de control (diseño o ejecución)",180,IF(K107="Oportunidad de mejora",200,220))))</f>
        <v>220</v>
      </c>
      <c r="M107" s="444">
        <v>4.2365680000000001</v>
      </c>
      <c r="N107" s="508">
        <f>+L107+M107</f>
        <v>224.23656800000001</v>
      </c>
    </row>
    <row r="108" spans="2:14" ht="33" x14ac:dyDescent="0.3">
      <c r="B108" s="250"/>
      <c r="C108" s="453"/>
      <c r="D108" s="229"/>
      <c r="E108" s="232"/>
      <c r="F108" s="256"/>
      <c r="G108" s="105">
        <v>2</v>
      </c>
      <c r="H108" s="149" t="s">
        <v>627</v>
      </c>
      <c r="I108" s="238"/>
      <c r="J108" s="256"/>
      <c r="K108" s="285"/>
      <c r="L108" s="268"/>
      <c r="M108" s="444"/>
      <c r="N108" s="508"/>
    </row>
    <row r="109" spans="2:14" ht="16.5" x14ac:dyDescent="0.3">
      <c r="B109" s="250"/>
      <c r="C109" s="453"/>
      <c r="D109" s="229"/>
      <c r="E109" s="232"/>
      <c r="F109" s="256"/>
      <c r="G109" s="105">
        <v>3</v>
      </c>
      <c r="H109" s="207"/>
      <c r="I109" s="238"/>
      <c r="J109" s="256"/>
      <c r="K109" s="285"/>
      <c r="L109" s="268"/>
      <c r="M109" s="444"/>
      <c r="N109" s="508"/>
    </row>
    <row r="110" spans="2:14" ht="16.5" x14ac:dyDescent="0.3">
      <c r="B110" s="250"/>
      <c r="C110" s="453"/>
      <c r="D110" s="229"/>
      <c r="E110" s="232"/>
      <c r="F110" s="256"/>
      <c r="G110" s="105">
        <v>4</v>
      </c>
      <c r="H110" s="105"/>
      <c r="I110" s="238"/>
      <c r="J110" s="256"/>
      <c r="K110" s="285"/>
      <c r="L110" s="268"/>
      <c r="M110" s="444"/>
      <c r="N110" s="508"/>
    </row>
    <row r="111" spans="2:14" ht="16.5" x14ac:dyDescent="0.3">
      <c r="B111" s="250"/>
      <c r="C111" s="453"/>
      <c r="D111" s="229"/>
      <c r="E111" s="232"/>
      <c r="F111" s="256"/>
      <c r="G111" s="105">
        <v>5</v>
      </c>
      <c r="H111" s="105"/>
      <c r="I111" s="238"/>
      <c r="J111" s="256"/>
      <c r="K111" s="285"/>
      <c r="L111" s="268"/>
      <c r="M111" s="444"/>
      <c r="N111" s="508"/>
    </row>
    <row r="112" spans="2:14" ht="16.5" x14ac:dyDescent="0.3">
      <c r="B112" s="250"/>
      <c r="C112" s="453"/>
      <c r="D112" s="229"/>
      <c r="E112" s="232"/>
      <c r="F112" s="256"/>
      <c r="G112" s="105">
        <v>6</v>
      </c>
      <c r="H112" s="105"/>
      <c r="I112" s="238"/>
      <c r="J112" s="256"/>
      <c r="K112" s="285"/>
      <c r="L112" s="268"/>
      <c r="M112" s="444"/>
      <c r="N112" s="508"/>
    </row>
    <row r="113" spans="2:14" ht="16.5" x14ac:dyDescent="0.3">
      <c r="B113" s="250"/>
      <c r="C113" s="453"/>
      <c r="D113" s="229"/>
      <c r="E113" s="232"/>
      <c r="F113" s="256"/>
      <c r="G113" s="105">
        <v>7</v>
      </c>
      <c r="H113" s="105"/>
      <c r="I113" s="238"/>
      <c r="J113" s="256"/>
      <c r="K113" s="285"/>
      <c r="L113" s="268"/>
      <c r="M113" s="444"/>
      <c r="N113" s="508"/>
    </row>
    <row r="114" spans="2:14" ht="17.25" thickBot="1" x14ac:dyDescent="0.35">
      <c r="B114" s="251"/>
      <c r="C114" s="454"/>
      <c r="D114" s="230"/>
      <c r="E114" s="233"/>
      <c r="F114" s="257"/>
      <c r="G114" s="109">
        <v>8</v>
      </c>
      <c r="H114" s="109"/>
      <c r="I114" s="239"/>
      <c r="J114" s="257"/>
      <c r="K114" s="286"/>
      <c r="L114" s="268"/>
      <c r="M114" s="444"/>
      <c r="N114" s="508"/>
    </row>
    <row r="115" spans="2:14" ht="56.25" customHeight="1" x14ac:dyDescent="0.3">
      <c r="B115" s="249" t="str">
        <f>+LEFT(C115,4)</f>
        <v>12.5</v>
      </c>
      <c r="C115" s="225" t="s">
        <v>234</v>
      </c>
      <c r="D115" s="228" t="s">
        <v>235</v>
      </c>
      <c r="E115" s="333" t="s">
        <v>629</v>
      </c>
      <c r="F115" s="255">
        <v>3</v>
      </c>
      <c r="G115" s="110">
        <v>1</v>
      </c>
      <c r="H115" s="106" t="s">
        <v>630</v>
      </c>
      <c r="I115" s="231" t="s">
        <v>631</v>
      </c>
      <c r="J115" s="255">
        <v>3</v>
      </c>
      <c r="K115" s="284" t="str">
        <f t="shared" si="9"/>
        <v>Mantenimiento del control</v>
      </c>
      <c r="L115" s="268">
        <f t="shared" ref="L115" si="14">+IF(K115="",152,IF(K115="Deficiencia de control mayor (diseño y ejecución)",160,IF(K115="Deficiencia de control (diseño o ejecución)",180,IF(K115="Oportunidad de mejora",200,220))))</f>
        <v>220</v>
      </c>
      <c r="M115" s="444">
        <v>4.3569000000000004</v>
      </c>
      <c r="N115" s="444">
        <f>+L115+M115</f>
        <v>224.3569</v>
      </c>
    </row>
    <row r="116" spans="2:14" ht="22.5" customHeight="1" x14ac:dyDescent="0.3">
      <c r="B116" s="250"/>
      <c r="C116" s="226"/>
      <c r="D116" s="229"/>
      <c r="E116" s="416"/>
      <c r="F116" s="256"/>
      <c r="G116" s="105">
        <v>2</v>
      </c>
      <c r="H116" s="105"/>
      <c r="I116" s="238"/>
      <c r="J116" s="256"/>
      <c r="K116" s="285"/>
      <c r="L116" s="268"/>
      <c r="M116" s="444"/>
      <c r="N116" s="444"/>
    </row>
    <row r="117" spans="2:14" ht="22.5" customHeight="1" x14ac:dyDescent="0.3">
      <c r="B117" s="250"/>
      <c r="C117" s="226"/>
      <c r="D117" s="229"/>
      <c r="E117" s="416"/>
      <c r="F117" s="256"/>
      <c r="G117" s="105">
        <v>3</v>
      </c>
      <c r="H117" s="105"/>
      <c r="I117" s="238"/>
      <c r="J117" s="256"/>
      <c r="K117" s="285"/>
      <c r="L117" s="268"/>
      <c r="M117" s="444"/>
      <c r="N117" s="444"/>
    </row>
    <row r="118" spans="2:14" ht="22.5" customHeight="1" x14ac:dyDescent="0.3">
      <c r="B118" s="250"/>
      <c r="C118" s="226"/>
      <c r="D118" s="229"/>
      <c r="E118" s="416"/>
      <c r="F118" s="256"/>
      <c r="G118" s="105">
        <v>4</v>
      </c>
      <c r="H118" s="105"/>
      <c r="I118" s="238"/>
      <c r="J118" s="256"/>
      <c r="K118" s="285"/>
      <c r="L118" s="268"/>
      <c r="M118" s="444"/>
      <c r="N118" s="444"/>
    </row>
    <row r="119" spans="2:14" ht="22.5" customHeight="1" x14ac:dyDescent="0.3">
      <c r="B119" s="250"/>
      <c r="C119" s="226"/>
      <c r="D119" s="229"/>
      <c r="E119" s="416"/>
      <c r="F119" s="256"/>
      <c r="G119" s="105">
        <v>5</v>
      </c>
      <c r="H119" s="105"/>
      <c r="I119" s="238"/>
      <c r="J119" s="256"/>
      <c r="K119" s="285"/>
      <c r="L119" s="268"/>
      <c r="M119" s="444"/>
      <c r="N119" s="444"/>
    </row>
    <row r="120" spans="2:14" ht="22.5" customHeight="1" x14ac:dyDescent="0.3">
      <c r="B120" s="250"/>
      <c r="C120" s="226"/>
      <c r="D120" s="229"/>
      <c r="E120" s="416"/>
      <c r="F120" s="256"/>
      <c r="G120" s="105">
        <v>6</v>
      </c>
      <c r="H120" s="105"/>
      <c r="I120" s="238"/>
      <c r="J120" s="256"/>
      <c r="K120" s="285"/>
      <c r="L120" s="268"/>
      <c r="M120" s="444"/>
      <c r="N120" s="444"/>
    </row>
    <row r="121" spans="2:14" ht="22.5" customHeight="1" x14ac:dyDescent="0.3">
      <c r="B121" s="250"/>
      <c r="C121" s="226"/>
      <c r="D121" s="229"/>
      <c r="E121" s="416"/>
      <c r="F121" s="256"/>
      <c r="G121" s="105">
        <v>7</v>
      </c>
      <c r="H121" s="105"/>
      <c r="I121" s="238"/>
      <c r="J121" s="256"/>
      <c r="K121" s="285"/>
      <c r="L121" s="268"/>
      <c r="M121" s="444"/>
      <c r="N121" s="444"/>
    </row>
    <row r="122" spans="2:14" ht="22.5" customHeight="1" thickBot="1" x14ac:dyDescent="0.35">
      <c r="B122" s="251"/>
      <c r="C122" s="227"/>
      <c r="D122" s="230"/>
      <c r="E122" s="417"/>
      <c r="F122" s="257"/>
      <c r="G122" s="109">
        <v>8</v>
      </c>
      <c r="H122" s="109"/>
      <c r="I122" s="239"/>
      <c r="J122" s="257"/>
      <c r="K122" s="286"/>
      <c r="L122" s="268"/>
      <c r="M122" s="444"/>
      <c r="N122" s="444"/>
    </row>
    <row r="123" spans="2:14" ht="22.5" customHeight="1" x14ac:dyDescent="0.3">
      <c r="D123" s="80"/>
    </row>
    <row r="124" spans="2:14" ht="22.5" customHeight="1" x14ac:dyDescent="0.3">
      <c r="D124" s="80"/>
    </row>
    <row r="125" spans="2:14" ht="22.5" customHeight="1" x14ac:dyDescent="0.3">
      <c r="D125" s="80"/>
    </row>
    <row r="126" spans="2:14" ht="22.5" customHeight="1" x14ac:dyDescent="0.3">
      <c r="D126" s="80"/>
    </row>
    <row r="127" spans="2:14" ht="22.5" customHeight="1" x14ac:dyDescent="0.3">
      <c r="D127" s="80"/>
    </row>
    <row r="128" spans="2:14" ht="22.5" customHeight="1" x14ac:dyDescent="0.3">
      <c r="D128" s="80"/>
    </row>
    <row r="129" spans="4:4" ht="22.5" customHeight="1" x14ac:dyDescent="0.3">
      <c r="D129" s="80"/>
    </row>
    <row r="130" spans="4:4" ht="22.5" customHeight="1" x14ac:dyDescent="0.3">
      <c r="D130" s="80"/>
    </row>
    <row r="131" spans="4:4" ht="22.5" customHeight="1" x14ac:dyDescent="0.3">
      <c r="D131" s="80"/>
    </row>
    <row r="132" spans="4:4" ht="22.5" customHeight="1" x14ac:dyDescent="0.3">
      <c r="D132" s="80"/>
    </row>
    <row r="133" spans="4:4" ht="22.5" customHeight="1" x14ac:dyDescent="0.3">
      <c r="D133" s="80"/>
    </row>
    <row r="134" spans="4:4" ht="22.5" customHeight="1" x14ac:dyDescent="0.3">
      <c r="D134" s="80"/>
    </row>
    <row r="135" spans="4:4" ht="22.5" customHeight="1" x14ac:dyDescent="0.3">
      <c r="D135" s="80"/>
    </row>
    <row r="136" spans="4:4" ht="22.5" customHeight="1" x14ac:dyDescent="0.3">
      <c r="D136" s="80"/>
    </row>
    <row r="137" spans="4:4" ht="22.5" customHeight="1" x14ac:dyDescent="0.3">
      <c r="D137" s="80"/>
    </row>
    <row r="138" spans="4:4" ht="22.5" customHeight="1" x14ac:dyDescent="0.3">
      <c r="D138" s="80"/>
    </row>
    <row r="139" spans="4:4" ht="22.5" customHeight="1" x14ac:dyDescent="0.3">
      <c r="D139" s="80"/>
    </row>
    <row r="140" spans="4:4" ht="22.5" customHeight="1" x14ac:dyDescent="0.3">
      <c r="D140" s="80"/>
    </row>
    <row r="141" spans="4:4" ht="22.5" customHeight="1" x14ac:dyDescent="0.3">
      <c r="D141" s="80"/>
    </row>
    <row r="142" spans="4:4" ht="22.5" customHeight="1" x14ac:dyDescent="0.3">
      <c r="D142" s="80"/>
    </row>
    <row r="143" spans="4:4" ht="22.5" customHeight="1" x14ac:dyDescent="0.3">
      <c r="D143" s="80"/>
    </row>
    <row r="144" spans="4:4" ht="22.5" customHeight="1" x14ac:dyDescent="0.3">
      <c r="D144" s="80"/>
    </row>
    <row r="145" spans="4:4" ht="22.5" customHeight="1" x14ac:dyDescent="0.3">
      <c r="D145" s="80"/>
    </row>
    <row r="146" spans="4:4" ht="22.5" customHeight="1" x14ac:dyDescent="0.3">
      <c r="D146" s="80"/>
    </row>
    <row r="147" spans="4:4" ht="22.5" customHeight="1" x14ac:dyDescent="0.3">
      <c r="D147" s="80"/>
    </row>
    <row r="148" spans="4:4" ht="22.5" customHeight="1" x14ac:dyDescent="0.3">
      <c r="D148" s="80"/>
    </row>
    <row r="149" spans="4:4" ht="22.5" customHeight="1" x14ac:dyDescent="0.3">
      <c r="D149" s="80"/>
    </row>
    <row r="150" spans="4:4" ht="22.5" customHeight="1" x14ac:dyDescent="0.3">
      <c r="D150" s="80"/>
    </row>
    <row r="151" spans="4:4" ht="22.5" customHeight="1" x14ac:dyDescent="0.3">
      <c r="D151" s="80"/>
    </row>
    <row r="152" spans="4:4" ht="22.5" customHeight="1" x14ac:dyDescent="0.3">
      <c r="D152" s="80"/>
    </row>
    <row r="153" spans="4:4" ht="22.5" customHeight="1" x14ac:dyDescent="0.3">
      <c r="D153" s="80"/>
    </row>
    <row r="154" spans="4:4" ht="22.5" customHeight="1" x14ac:dyDescent="0.3">
      <c r="D154" s="80"/>
    </row>
    <row r="155" spans="4:4" ht="22.5" customHeight="1" x14ac:dyDescent="0.3">
      <c r="D155" s="80"/>
    </row>
    <row r="156" spans="4:4" ht="22.5" customHeight="1" x14ac:dyDescent="0.3">
      <c r="D156" s="80"/>
    </row>
    <row r="157" spans="4:4" ht="22.5" customHeight="1" x14ac:dyDescent="0.3">
      <c r="D157" s="80"/>
    </row>
    <row r="158" spans="4:4" ht="22.5" customHeight="1" x14ac:dyDescent="0.3">
      <c r="D158" s="80"/>
    </row>
    <row r="159" spans="4:4" ht="22.5" customHeight="1" x14ac:dyDescent="0.3">
      <c r="D159" s="80"/>
    </row>
    <row r="160" spans="4:4" ht="22.5" customHeight="1" x14ac:dyDescent="0.3">
      <c r="D160" s="80"/>
    </row>
    <row r="161" spans="4:4" ht="22.5" customHeight="1" x14ac:dyDescent="0.3">
      <c r="D161" s="80"/>
    </row>
    <row r="162" spans="4:4" ht="22.5" customHeight="1" x14ac:dyDescent="0.3">
      <c r="D162" s="80"/>
    </row>
    <row r="163" spans="4:4" ht="22.5" customHeight="1" x14ac:dyDescent="0.3">
      <c r="D163" s="80"/>
    </row>
    <row r="164" spans="4:4" ht="22.5" customHeight="1" x14ac:dyDescent="0.3">
      <c r="D164" s="80"/>
    </row>
    <row r="165" spans="4:4" ht="22.5" customHeight="1" x14ac:dyDescent="0.3">
      <c r="D165" s="80"/>
    </row>
    <row r="166" spans="4:4" ht="22.5" customHeight="1" x14ac:dyDescent="0.3">
      <c r="D166" s="80"/>
    </row>
    <row r="167" spans="4:4" ht="22.5" customHeight="1" x14ac:dyDescent="0.3">
      <c r="D167" s="80"/>
    </row>
    <row r="168" spans="4:4" ht="22.5" customHeight="1" x14ac:dyDescent="0.3">
      <c r="D168" s="80"/>
    </row>
    <row r="169" spans="4:4" ht="22.5" customHeight="1" x14ac:dyDescent="0.3">
      <c r="D169" s="80"/>
    </row>
    <row r="170" spans="4:4" ht="22.5" customHeight="1" x14ac:dyDescent="0.3">
      <c r="D170" s="80"/>
    </row>
    <row r="171" spans="4:4" ht="22.5" customHeight="1" x14ac:dyDescent="0.3">
      <c r="D171" s="80"/>
    </row>
    <row r="172" spans="4:4" ht="22.5" customHeight="1" x14ac:dyDescent="0.3">
      <c r="D172" s="80"/>
    </row>
    <row r="173" spans="4:4" ht="22.5" customHeight="1" x14ac:dyDescent="0.3">
      <c r="D173" s="80"/>
    </row>
    <row r="174" spans="4:4" ht="22.5" customHeight="1" x14ac:dyDescent="0.3">
      <c r="D174" s="80"/>
    </row>
    <row r="175" spans="4:4" ht="22.5" customHeight="1" x14ac:dyDescent="0.3">
      <c r="D175" s="80"/>
    </row>
    <row r="176" spans="4:4" ht="22.5" customHeight="1" x14ac:dyDescent="0.3">
      <c r="D176" s="80"/>
    </row>
    <row r="177" spans="4:4" ht="22.5" customHeight="1" x14ac:dyDescent="0.3">
      <c r="D177" s="80"/>
    </row>
    <row r="178" spans="4:4" ht="22.5" customHeight="1" x14ac:dyDescent="0.3">
      <c r="D178" s="80"/>
    </row>
    <row r="179" spans="4:4" ht="22.5" customHeight="1" x14ac:dyDescent="0.3">
      <c r="D179" s="80"/>
    </row>
    <row r="180" spans="4:4" ht="22.5" customHeight="1" x14ac:dyDescent="0.3">
      <c r="D180" s="80"/>
    </row>
    <row r="181" spans="4:4" ht="22.5" customHeight="1" x14ac:dyDescent="0.3">
      <c r="D181" s="80"/>
    </row>
    <row r="182" spans="4:4" ht="22.5" customHeight="1" x14ac:dyDescent="0.3">
      <c r="D182" s="80"/>
    </row>
    <row r="183" spans="4:4" ht="22.5" customHeight="1" x14ac:dyDescent="0.3">
      <c r="D183" s="80"/>
    </row>
    <row r="184" spans="4:4" ht="22.5" customHeight="1" x14ac:dyDescent="0.3">
      <c r="D184" s="80"/>
    </row>
    <row r="185" spans="4:4" ht="22.5" customHeight="1" x14ac:dyDescent="0.3">
      <c r="D185" s="80"/>
    </row>
    <row r="186" spans="4:4" ht="22.5" customHeight="1" x14ac:dyDescent="0.3">
      <c r="D186" s="80"/>
    </row>
    <row r="187" spans="4:4" ht="22.5" customHeight="1" x14ac:dyDescent="0.3">
      <c r="D187" s="80"/>
    </row>
    <row r="188" spans="4:4" ht="22.5" customHeight="1" x14ac:dyDescent="0.3">
      <c r="D188" s="80"/>
    </row>
    <row r="189" spans="4:4" ht="22.5" customHeight="1" x14ac:dyDescent="0.3">
      <c r="D189" s="80"/>
    </row>
    <row r="190" spans="4:4" ht="22.5" customHeight="1" x14ac:dyDescent="0.3">
      <c r="D190" s="80"/>
    </row>
    <row r="191" spans="4:4" ht="22.5" customHeight="1" x14ac:dyDescent="0.3">
      <c r="D191" s="80"/>
    </row>
    <row r="192" spans="4:4" ht="22.5" customHeight="1" x14ac:dyDescent="0.3">
      <c r="D192" s="80"/>
    </row>
    <row r="193" spans="4:4" ht="22.5" customHeight="1" x14ac:dyDescent="0.3">
      <c r="D193" s="80"/>
    </row>
    <row r="194" spans="4:4" ht="22.5" customHeight="1" x14ac:dyDescent="0.3">
      <c r="D194" s="80"/>
    </row>
    <row r="195" spans="4:4" ht="22.5" customHeight="1" x14ac:dyDescent="0.3">
      <c r="D195" s="80"/>
    </row>
    <row r="196" spans="4:4" ht="22.5" customHeight="1" x14ac:dyDescent="0.3">
      <c r="D196" s="80"/>
    </row>
    <row r="197" spans="4:4" ht="22.5" customHeight="1" x14ac:dyDescent="0.3">
      <c r="D197" s="80"/>
    </row>
    <row r="198" spans="4:4" ht="22.5" customHeight="1" x14ac:dyDescent="0.3">
      <c r="D198" s="80"/>
    </row>
  </sheetData>
  <sheetProtection password="D72A" sheet="1" objects="1" scenarios="1" formatCells="0" formatColumns="0" formatRows="0"/>
  <autoFilter ref="C1:C122" xr:uid="{00000000-0009-0000-0000-000004000000}"/>
  <mergeCells count="176">
    <mergeCell ref="I115:I122"/>
    <mergeCell ref="K83:K90"/>
    <mergeCell ref="K91:K98"/>
    <mergeCell ref="K115:K122"/>
    <mergeCell ref="I29:I36"/>
    <mergeCell ref="I37:I44"/>
    <mergeCell ref="I48:I55"/>
    <mergeCell ref="I56:I63"/>
    <mergeCell ref="I64:I71"/>
    <mergeCell ref="I72:I79"/>
    <mergeCell ref="L107:L114"/>
    <mergeCell ref="M99:M106"/>
    <mergeCell ref="M107:M114"/>
    <mergeCell ref="I83:I90"/>
    <mergeCell ref="I91:I98"/>
    <mergeCell ref="N80:N82"/>
    <mergeCell ref="N83:N90"/>
    <mergeCell ref="N91:N98"/>
    <mergeCell ref="L80:L82"/>
    <mergeCell ref="L83:L90"/>
    <mergeCell ref="L91:L98"/>
    <mergeCell ref="N115:N122"/>
    <mergeCell ref="N18:N20"/>
    <mergeCell ref="N21:N28"/>
    <mergeCell ref="N29:N36"/>
    <mergeCell ref="N37:N44"/>
    <mergeCell ref="N45:N47"/>
    <mergeCell ref="N48:N55"/>
    <mergeCell ref="N56:N63"/>
    <mergeCell ref="N64:N71"/>
    <mergeCell ref="N72:N79"/>
    <mergeCell ref="N99:N106"/>
    <mergeCell ref="N107:N114"/>
    <mergeCell ref="L115:L122"/>
    <mergeCell ref="M18:M20"/>
    <mergeCell ref="M21:M28"/>
    <mergeCell ref="M29:M36"/>
    <mergeCell ref="M37:M44"/>
    <mergeCell ref="M45:M47"/>
    <mergeCell ref="M48:M55"/>
    <mergeCell ref="M56:M63"/>
    <mergeCell ref="M64:M71"/>
    <mergeCell ref="M72:M79"/>
    <mergeCell ref="M80:M82"/>
    <mergeCell ref="M83:M90"/>
    <mergeCell ref="M91:M98"/>
    <mergeCell ref="M115:M122"/>
    <mergeCell ref="L18:L20"/>
    <mergeCell ref="L21:L28"/>
    <mergeCell ref="L29:L36"/>
    <mergeCell ref="L37:L44"/>
    <mergeCell ref="L45:L47"/>
    <mergeCell ref="L48:L55"/>
    <mergeCell ref="L56:L63"/>
    <mergeCell ref="L64:L71"/>
    <mergeCell ref="L72:L79"/>
    <mergeCell ref="L99:L106"/>
    <mergeCell ref="C29:C36"/>
    <mergeCell ref="D29:D36"/>
    <mergeCell ref="E29:E36"/>
    <mergeCell ref="F29:F36"/>
    <mergeCell ref="J29:J36"/>
    <mergeCell ref="J48:J55"/>
    <mergeCell ref="C45:C47"/>
    <mergeCell ref="D45:D47"/>
    <mergeCell ref="E45:E47"/>
    <mergeCell ref="F45:F47"/>
    <mergeCell ref="G45:I45"/>
    <mergeCell ref="J45:J47"/>
    <mergeCell ref="G46:G47"/>
    <mergeCell ref="I46:I47"/>
    <mergeCell ref="C48:C55"/>
    <mergeCell ref="D48:D55"/>
    <mergeCell ref="E48:E55"/>
    <mergeCell ref="F48:F55"/>
    <mergeCell ref="C56:C63"/>
    <mergeCell ref="E56:E63"/>
    <mergeCell ref="D56:D63"/>
    <mergeCell ref="C64:C71"/>
    <mergeCell ref="D64:D71"/>
    <mergeCell ref="E64:E71"/>
    <mergeCell ref="C37:C44"/>
    <mergeCell ref="D37:D44"/>
    <mergeCell ref="E37:E44"/>
    <mergeCell ref="C115:C122"/>
    <mergeCell ref="D115:D122"/>
    <mergeCell ref="D80:D82"/>
    <mergeCell ref="C91:C98"/>
    <mergeCell ref="E91:E98"/>
    <mergeCell ref="C80:C82"/>
    <mergeCell ref="C83:C90"/>
    <mergeCell ref="E83:E90"/>
    <mergeCell ref="D72:D79"/>
    <mergeCell ref="D83:D90"/>
    <mergeCell ref="D91:D98"/>
    <mergeCell ref="E115:E122"/>
    <mergeCell ref="E80:E82"/>
    <mergeCell ref="C72:C79"/>
    <mergeCell ref="E72:E79"/>
    <mergeCell ref="C99:C106"/>
    <mergeCell ref="D99:D106"/>
    <mergeCell ref="E99:E106"/>
    <mergeCell ref="E18:E20"/>
    <mergeCell ref="J56:J63"/>
    <mergeCell ref="J115:J122"/>
    <mergeCell ref="F72:F79"/>
    <mergeCell ref="J72:J79"/>
    <mergeCell ref="J80:J82"/>
    <mergeCell ref="J83:J90"/>
    <mergeCell ref="J91:J98"/>
    <mergeCell ref="J64:J71"/>
    <mergeCell ref="F56:F63"/>
    <mergeCell ref="G81:G82"/>
    <mergeCell ref="G80:I80"/>
    <mergeCell ref="I81:I82"/>
    <mergeCell ref="F91:F98"/>
    <mergeCell ref="F80:F82"/>
    <mergeCell ref="F83:F90"/>
    <mergeCell ref="F115:F122"/>
    <mergeCell ref="F64:F71"/>
    <mergeCell ref="F37:F44"/>
    <mergeCell ref="J37:J44"/>
    <mergeCell ref="H19:H20"/>
    <mergeCell ref="H46:H47"/>
    <mergeCell ref="H81:H82"/>
    <mergeCell ref="I21:I28"/>
    <mergeCell ref="C15:K15"/>
    <mergeCell ref="C16:K16"/>
    <mergeCell ref="K48:K55"/>
    <mergeCell ref="K56:K63"/>
    <mergeCell ref="K64:K71"/>
    <mergeCell ref="K72:K79"/>
    <mergeCell ref="K80:K82"/>
    <mergeCell ref="K18:K20"/>
    <mergeCell ref="K21:K28"/>
    <mergeCell ref="K29:K36"/>
    <mergeCell ref="K37:K44"/>
    <mergeCell ref="K45:K47"/>
    <mergeCell ref="C21:C28"/>
    <mergeCell ref="E21:E28"/>
    <mergeCell ref="F21:F28"/>
    <mergeCell ref="G19:G20"/>
    <mergeCell ref="D21:D28"/>
    <mergeCell ref="J18:J20"/>
    <mergeCell ref="J21:J28"/>
    <mergeCell ref="C18:C20"/>
    <mergeCell ref="F18:F20"/>
    <mergeCell ref="D18:D20"/>
    <mergeCell ref="I19:I20"/>
    <mergeCell ref="G18:I18"/>
    <mergeCell ref="B83:B90"/>
    <mergeCell ref="B91:B98"/>
    <mergeCell ref="B115:B122"/>
    <mergeCell ref="B48:B55"/>
    <mergeCell ref="B56:B63"/>
    <mergeCell ref="B64:B71"/>
    <mergeCell ref="B72:B79"/>
    <mergeCell ref="B80:B82"/>
    <mergeCell ref="B18:B20"/>
    <mergeCell ref="B21:B28"/>
    <mergeCell ref="B29:B36"/>
    <mergeCell ref="B37:B44"/>
    <mergeCell ref="B45:B47"/>
    <mergeCell ref="B99:B106"/>
    <mergeCell ref="B107:B114"/>
    <mergeCell ref="F99:F106"/>
    <mergeCell ref="K99:K106"/>
    <mergeCell ref="C107:C114"/>
    <mergeCell ref="D107:D114"/>
    <mergeCell ref="E107:E114"/>
    <mergeCell ref="F107:F114"/>
    <mergeCell ref="I99:I106"/>
    <mergeCell ref="I107:I114"/>
    <mergeCell ref="J107:J114"/>
    <mergeCell ref="K107:K114"/>
    <mergeCell ref="J99:J106"/>
  </mergeCells>
  <dataValidations count="1">
    <dataValidation type="list" allowBlank="1" showInputMessage="1" showErrorMessage="1" sqref="J48:J79 J21:J44 F48:F79 F83:F122 F21:F44 J83:J122" xr:uid="{00000000-0002-0000-0400-000000000000}">
      <formula1>"1,2,3"</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499984740745262"/>
  </sheetPr>
  <dimension ref="A1:N138"/>
  <sheetViews>
    <sheetView showGridLines="0" topLeftCell="A3" zoomScaleNormal="130" workbookViewId="0">
      <selection activeCell="I115" sqref="I115:I122"/>
    </sheetView>
  </sheetViews>
  <sheetFormatPr baseColWidth="10" defaultColWidth="9.140625" defaultRowHeight="32.25" customHeight="1" x14ac:dyDescent="0.3"/>
  <cols>
    <col min="1" max="1" width="2.42578125" style="10" customWidth="1"/>
    <col min="2" max="2" width="4.42578125" style="10" hidden="1" customWidth="1"/>
    <col min="3" max="4" width="37.85546875" style="10" customWidth="1"/>
    <col min="5" max="5" width="44.85546875" style="10" customWidth="1"/>
    <col min="6" max="6" width="7.42578125" style="10" customWidth="1"/>
    <col min="7" max="7" width="3.42578125" style="10" bestFit="1" customWidth="1"/>
    <col min="8" max="8" width="36.28515625" style="10" customWidth="1"/>
    <col min="9" max="9" width="39.42578125" style="10" customWidth="1"/>
    <col min="10" max="10" width="7.42578125" style="10" customWidth="1"/>
    <col min="11" max="11" width="10.28515625" style="10" customWidth="1"/>
    <col min="12" max="14" width="9.140625" style="68"/>
    <col min="15" max="16384" width="9.140625" style="10"/>
  </cols>
  <sheetData>
    <row r="1" spans="2:14" ht="16.5" x14ac:dyDescent="0.3"/>
    <row r="2" spans="2:14" ht="16.5" x14ac:dyDescent="0.3"/>
    <row r="3" spans="2:14" ht="16.5" x14ac:dyDescent="0.3"/>
    <row r="4" spans="2:14" ht="16.5" x14ac:dyDescent="0.3"/>
    <row r="5" spans="2:14" ht="16.5" x14ac:dyDescent="0.3"/>
    <row r="6" spans="2:14" ht="16.5" x14ac:dyDescent="0.3"/>
    <row r="7" spans="2:14" ht="16.5" x14ac:dyDescent="0.3"/>
    <row r="9" spans="2:14" ht="16.5" x14ac:dyDescent="0.3"/>
    <row r="11" spans="2:14" ht="16.5" x14ac:dyDescent="0.3">
      <c r="C11" s="15"/>
      <c r="D11" s="15"/>
      <c r="E11" s="15"/>
      <c r="F11" s="15"/>
      <c r="G11" s="15"/>
      <c r="H11" s="15"/>
      <c r="I11" s="15"/>
    </row>
    <row r="12" spans="2:14" ht="26.25" customHeight="1" x14ac:dyDescent="0.3">
      <c r="C12" s="516" t="s">
        <v>236</v>
      </c>
      <c r="D12" s="516"/>
      <c r="E12" s="516"/>
      <c r="F12" s="516"/>
      <c r="G12" s="516"/>
      <c r="H12" s="516"/>
      <c r="I12" s="516"/>
      <c r="J12" s="516"/>
      <c r="K12" s="516"/>
    </row>
    <row r="13" spans="2:14" ht="66.75" customHeight="1" x14ac:dyDescent="0.3">
      <c r="C13" s="332" t="s">
        <v>237</v>
      </c>
      <c r="D13" s="332"/>
      <c r="E13" s="332"/>
      <c r="F13" s="332"/>
      <c r="G13" s="332"/>
      <c r="H13" s="332"/>
      <c r="I13" s="332"/>
      <c r="J13" s="332"/>
      <c r="K13" s="332"/>
    </row>
    <row r="14" spans="2:14" ht="16.5" x14ac:dyDescent="0.3"/>
    <row r="15" spans="2:14" ht="12.75" customHeight="1" x14ac:dyDescent="0.3">
      <c r="B15" s="509" t="s">
        <v>111</v>
      </c>
      <c r="C15" s="509" t="s">
        <v>238</v>
      </c>
      <c r="D15" s="525" t="s">
        <v>8</v>
      </c>
      <c r="E15" s="543" t="s">
        <v>113</v>
      </c>
      <c r="F15" s="530" t="s">
        <v>175</v>
      </c>
      <c r="G15" s="523" t="s">
        <v>115</v>
      </c>
      <c r="H15" s="523"/>
      <c r="I15" s="523"/>
      <c r="J15" s="530" t="s">
        <v>176</v>
      </c>
      <c r="K15" s="514" t="s">
        <v>135</v>
      </c>
      <c r="L15" s="443"/>
      <c r="M15" s="443"/>
      <c r="N15" s="443"/>
    </row>
    <row r="16" spans="2:14" ht="15" customHeight="1" x14ac:dyDescent="0.3">
      <c r="B16" s="510"/>
      <c r="C16" s="510"/>
      <c r="D16" s="525"/>
      <c r="E16" s="544"/>
      <c r="F16" s="530"/>
      <c r="G16" s="523"/>
      <c r="H16" s="523"/>
      <c r="I16" s="523"/>
      <c r="J16" s="530"/>
      <c r="K16" s="514"/>
      <c r="L16" s="443"/>
      <c r="M16" s="443"/>
      <c r="N16" s="443"/>
    </row>
    <row r="17" spans="2:14" ht="27.75" customHeight="1" x14ac:dyDescent="0.3">
      <c r="B17" s="510"/>
      <c r="C17" s="510"/>
      <c r="D17" s="525"/>
      <c r="E17" s="544"/>
      <c r="F17" s="530"/>
      <c r="G17" s="523" t="s">
        <v>13</v>
      </c>
      <c r="H17" s="525" t="s">
        <v>15</v>
      </c>
      <c r="I17" s="525" t="s">
        <v>17</v>
      </c>
      <c r="J17" s="530"/>
      <c r="K17" s="514"/>
      <c r="L17" s="443"/>
      <c r="M17" s="443"/>
      <c r="N17" s="443"/>
    </row>
    <row r="18" spans="2:14" ht="72" customHeight="1" thickBot="1" x14ac:dyDescent="0.35">
      <c r="B18" s="510"/>
      <c r="C18" s="510"/>
      <c r="D18" s="525"/>
      <c r="E18" s="545"/>
      <c r="F18" s="530"/>
      <c r="G18" s="523"/>
      <c r="H18" s="523"/>
      <c r="I18" s="523"/>
      <c r="J18" s="530"/>
      <c r="K18" s="515"/>
      <c r="L18" s="443"/>
      <c r="M18" s="443"/>
      <c r="N18" s="443"/>
    </row>
    <row r="19" spans="2:14" ht="53.25" customHeight="1" x14ac:dyDescent="0.3">
      <c r="B19" s="249" t="str">
        <f>+LEFT(C19,4)</f>
        <v>13.1</v>
      </c>
      <c r="C19" s="524" t="s">
        <v>239</v>
      </c>
      <c r="D19" s="228" t="s">
        <v>240</v>
      </c>
      <c r="E19" s="520" t="s">
        <v>632</v>
      </c>
      <c r="F19" s="234">
        <v>3</v>
      </c>
      <c r="G19" s="110">
        <v>1</v>
      </c>
      <c r="H19" s="106" t="s">
        <v>633</v>
      </c>
      <c r="I19" s="231" t="s">
        <v>635</v>
      </c>
      <c r="J19" s="255">
        <v>3</v>
      </c>
      <c r="K19" s="284" t="str">
        <f t="shared" ref="K19" si="0">+IF(OR(ISBLANK(F19),ISBLANK(J19)),"",IF(OR(AND(F19=1,J19=1),AND(F19=1,J19=2),AND(F19=1,J19=3)),"Deficiencia de control mayor (diseño y ejecución)",IF(OR(AND(F19=2,J19=2),AND(F19=3,J19=1),AND(F19=3,J19=2),AND(F19=2,J19=1)),"Deficiencia de control (diseño o ejecución)",IF(AND(F19=2,J19=3),"Oportunidad de mejora","Mantenimiento del control"))))</f>
        <v>Mantenimiento del control</v>
      </c>
      <c r="L19" s="268">
        <f>+IF(K19="",231,IF(K19="Deficiencia de control mayor (diseño y ejecución)",240,IF(K19="Deficiencia de control (diseño o ejecución)",260,IF(K19="Oportunidad de mejora",280,300))))</f>
        <v>300</v>
      </c>
      <c r="M19" s="444">
        <v>4.4569000000000001</v>
      </c>
      <c r="N19" s="444">
        <f>+L19+M19</f>
        <v>304.45690000000002</v>
      </c>
    </row>
    <row r="20" spans="2:14" ht="16.5" x14ac:dyDescent="0.3">
      <c r="B20" s="250"/>
      <c r="C20" s="518"/>
      <c r="D20" s="229"/>
      <c r="E20" s="521"/>
      <c r="F20" s="235"/>
      <c r="G20" s="105">
        <v>2</v>
      </c>
      <c r="H20" s="140" t="s">
        <v>634</v>
      </c>
      <c r="I20" s="232"/>
      <c r="J20" s="256"/>
      <c r="K20" s="285"/>
      <c r="L20" s="268"/>
      <c r="M20" s="444"/>
      <c r="N20" s="444"/>
    </row>
    <row r="21" spans="2:14" ht="16.5" x14ac:dyDescent="0.3">
      <c r="B21" s="250"/>
      <c r="C21" s="518"/>
      <c r="D21" s="229"/>
      <c r="E21" s="521"/>
      <c r="F21" s="235"/>
      <c r="G21" s="105">
        <v>3</v>
      </c>
      <c r="H21" s="105"/>
      <c r="I21" s="232"/>
      <c r="J21" s="256"/>
      <c r="K21" s="285"/>
      <c r="L21" s="268"/>
      <c r="M21" s="444"/>
      <c r="N21" s="444"/>
    </row>
    <row r="22" spans="2:14" ht="16.5" x14ac:dyDescent="0.3">
      <c r="B22" s="250"/>
      <c r="C22" s="518"/>
      <c r="D22" s="229"/>
      <c r="E22" s="521"/>
      <c r="F22" s="235"/>
      <c r="G22" s="105">
        <v>4</v>
      </c>
      <c r="H22" s="105"/>
      <c r="I22" s="232"/>
      <c r="J22" s="256"/>
      <c r="K22" s="285"/>
      <c r="L22" s="268"/>
      <c r="M22" s="444"/>
      <c r="N22" s="444"/>
    </row>
    <row r="23" spans="2:14" ht="16.5" x14ac:dyDescent="0.3">
      <c r="B23" s="250"/>
      <c r="C23" s="518"/>
      <c r="D23" s="229"/>
      <c r="E23" s="521"/>
      <c r="F23" s="235"/>
      <c r="G23" s="105">
        <v>5</v>
      </c>
      <c r="H23" s="105"/>
      <c r="I23" s="232"/>
      <c r="J23" s="256"/>
      <c r="K23" s="285"/>
      <c r="L23" s="268"/>
      <c r="M23" s="444"/>
      <c r="N23" s="444"/>
    </row>
    <row r="24" spans="2:14" ht="16.5" x14ac:dyDescent="0.3">
      <c r="B24" s="250"/>
      <c r="C24" s="518"/>
      <c r="D24" s="229"/>
      <c r="E24" s="521"/>
      <c r="F24" s="235"/>
      <c r="G24" s="105">
        <v>6</v>
      </c>
      <c r="H24" s="105"/>
      <c r="I24" s="232"/>
      <c r="J24" s="256"/>
      <c r="K24" s="285"/>
      <c r="L24" s="268"/>
      <c r="M24" s="444"/>
      <c r="N24" s="444"/>
    </row>
    <row r="25" spans="2:14" ht="16.5" x14ac:dyDescent="0.3">
      <c r="B25" s="250"/>
      <c r="C25" s="518"/>
      <c r="D25" s="229"/>
      <c r="E25" s="521"/>
      <c r="F25" s="235"/>
      <c r="G25" s="105">
        <v>7</v>
      </c>
      <c r="H25" s="105"/>
      <c r="I25" s="232"/>
      <c r="J25" s="256"/>
      <c r="K25" s="285"/>
      <c r="L25" s="268"/>
      <c r="M25" s="444"/>
      <c r="N25" s="444"/>
    </row>
    <row r="26" spans="2:14" ht="17.25" thickBot="1" x14ac:dyDescent="0.35">
      <c r="B26" s="251"/>
      <c r="C26" s="519"/>
      <c r="D26" s="230"/>
      <c r="E26" s="522"/>
      <c r="F26" s="236"/>
      <c r="G26" s="109">
        <v>8</v>
      </c>
      <c r="H26" s="109"/>
      <c r="I26" s="233"/>
      <c r="J26" s="257"/>
      <c r="K26" s="286"/>
      <c r="L26" s="268"/>
      <c r="M26" s="444"/>
      <c r="N26" s="444"/>
    </row>
    <row r="27" spans="2:14" ht="60.75" customHeight="1" x14ac:dyDescent="0.3">
      <c r="B27" s="249" t="str">
        <f>+LEFT(C27,4)</f>
        <v>13.2</v>
      </c>
      <c r="C27" s="517" t="s">
        <v>241</v>
      </c>
      <c r="D27" s="228" t="s">
        <v>242</v>
      </c>
      <c r="E27" s="520" t="s">
        <v>632</v>
      </c>
      <c r="F27" s="234">
        <v>3</v>
      </c>
      <c r="G27" s="110">
        <v>1</v>
      </c>
      <c r="H27" s="106" t="s">
        <v>637</v>
      </c>
      <c r="I27" s="231" t="s">
        <v>636</v>
      </c>
      <c r="J27" s="255">
        <v>3</v>
      </c>
      <c r="K27" s="284" t="str">
        <f t="shared" ref="K27:K43" si="1">+IF(OR(ISBLANK(F27),ISBLANK(J27)),"",IF(OR(AND(F27=1,J27=1),AND(F27=1,J27=2),AND(F27=1,J27=3)),"Deficiencia de control mayor (diseño y ejecución)",IF(OR(AND(F27=2,J27=2),AND(F27=3,J27=1),AND(F27=3,J27=2),AND(F27=2,J27=1)),"Deficiencia de control (diseño o ejecución)",IF(AND(F27=2,J27=3),"Oportunidad de mejora","Mantenimiento del control"))))</f>
        <v>Mantenimiento del control</v>
      </c>
      <c r="L27" s="268">
        <f t="shared" ref="L27" si="2">+IF(K27="",231,IF(K27="Deficiencia de control mayor (diseño y ejecución)",240,IF(K27="Deficiencia de control (diseño o ejecución)",260,IF(K27="Oportunidad de mejora",280,300))))</f>
        <v>300</v>
      </c>
      <c r="M27" s="444">
        <v>4.5632000000000001</v>
      </c>
      <c r="N27" s="444">
        <f>+L27+M27</f>
        <v>304.56319999999999</v>
      </c>
    </row>
    <row r="28" spans="2:14" ht="16.5" customHeight="1" x14ac:dyDescent="0.3">
      <c r="B28" s="250"/>
      <c r="C28" s="518"/>
      <c r="D28" s="229"/>
      <c r="E28" s="521"/>
      <c r="F28" s="235"/>
      <c r="G28" s="105">
        <v>2</v>
      </c>
      <c r="H28" s="140"/>
      <c r="I28" s="232"/>
      <c r="J28" s="256"/>
      <c r="K28" s="285"/>
      <c r="L28" s="268"/>
      <c r="M28" s="444"/>
      <c r="N28" s="444"/>
    </row>
    <row r="29" spans="2:14" ht="16.5" customHeight="1" x14ac:dyDescent="0.3">
      <c r="B29" s="250"/>
      <c r="C29" s="518"/>
      <c r="D29" s="229"/>
      <c r="E29" s="521"/>
      <c r="F29" s="235"/>
      <c r="G29" s="105">
        <v>3</v>
      </c>
      <c r="H29" s="105"/>
      <c r="I29" s="232"/>
      <c r="J29" s="256"/>
      <c r="K29" s="285"/>
      <c r="L29" s="268"/>
      <c r="M29" s="444"/>
      <c r="N29" s="444"/>
    </row>
    <row r="30" spans="2:14" ht="16.5" customHeight="1" x14ac:dyDescent="0.3">
      <c r="B30" s="250"/>
      <c r="C30" s="518"/>
      <c r="D30" s="229"/>
      <c r="E30" s="521"/>
      <c r="F30" s="235"/>
      <c r="G30" s="105">
        <v>4</v>
      </c>
      <c r="H30" s="105"/>
      <c r="I30" s="232"/>
      <c r="J30" s="256"/>
      <c r="K30" s="285"/>
      <c r="L30" s="268"/>
      <c r="M30" s="444"/>
      <c r="N30" s="444"/>
    </row>
    <row r="31" spans="2:14" ht="16.5" customHeight="1" x14ac:dyDescent="0.3">
      <c r="B31" s="250"/>
      <c r="C31" s="518"/>
      <c r="D31" s="229"/>
      <c r="E31" s="521"/>
      <c r="F31" s="235"/>
      <c r="G31" s="105">
        <v>5</v>
      </c>
      <c r="H31" s="105"/>
      <c r="I31" s="232"/>
      <c r="J31" s="256"/>
      <c r="K31" s="285"/>
      <c r="L31" s="268"/>
      <c r="M31" s="444"/>
      <c r="N31" s="444"/>
    </row>
    <row r="32" spans="2:14" ht="16.5" customHeight="1" x14ac:dyDescent="0.3">
      <c r="B32" s="250"/>
      <c r="C32" s="518"/>
      <c r="D32" s="229"/>
      <c r="E32" s="521"/>
      <c r="F32" s="235"/>
      <c r="G32" s="105">
        <v>6</v>
      </c>
      <c r="H32" s="105"/>
      <c r="I32" s="232"/>
      <c r="J32" s="256"/>
      <c r="K32" s="285"/>
      <c r="L32" s="268"/>
      <c r="M32" s="444"/>
      <c r="N32" s="444"/>
    </row>
    <row r="33" spans="1:14" ht="16.5" customHeight="1" x14ac:dyDescent="0.3">
      <c r="B33" s="250"/>
      <c r="C33" s="518"/>
      <c r="D33" s="229"/>
      <c r="E33" s="521"/>
      <c r="F33" s="235"/>
      <c r="G33" s="105">
        <v>7</v>
      </c>
      <c r="H33" s="105"/>
      <c r="I33" s="232"/>
      <c r="J33" s="256"/>
      <c r="K33" s="285"/>
      <c r="L33" s="268"/>
      <c r="M33" s="444"/>
      <c r="N33" s="444"/>
    </row>
    <row r="34" spans="1:14" ht="17.25" customHeight="1" thickBot="1" x14ac:dyDescent="0.35">
      <c r="B34" s="251"/>
      <c r="C34" s="519"/>
      <c r="D34" s="230"/>
      <c r="E34" s="522"/>
      <c r="F34" s="236"/>
      <c r="G34" s="109">
        <v>8</v>
      </c>
      <c r="H34" s="109"/>
      <c r="I34" s="233"/>
      <c r="J34" s="257"/>
      <c r="K34" s="286"/>
      <c r="L34" s="268"/>
      <c r="M34" s="444"/>
      <c r="N34" s="444"/>
    </row>
    <row r="35" spans="1:14" ht="56.25" customHeight="1" x14ac:dyDescent="0.3">
      <c r="B35" s="249" t="str">
        <f>+LEFT(C35,4)</f>
        <v>13.3</v>
      </c>
      <c r="C35" s="517" t="s">
        <v>243</v>
      </c>
      <c r="D35" s="228" t="s">
        <v>242</v>
      </c>
      <c r="E35" s="333" t="s">
        <v>638</v>
      </c>
      <c r="F35" s="234">
        <v>3</v>
      </c>
      <c r="G35" s="110">
        <v>1</v>
      </c>
      <c r="H35" s="106" t="s">
        <v>639</v>
      </c>
      <c r="I35" s="231" t="s">
        <v>640</v>
      </c>
      <c r="J35" s="255">
        <v>3</v>
      </c>
      <c r="K35" s="284" t="str">
        <f t="shared" si="1"/>
        <v>Mantenimiento del control</v>
      </c>
      <c r="L35" s="268">
        <f t="shared" ref="L35" si="3">+IF(K35="",231,IF(K35="Deficiencia de control mayor (diseño y ejecución)",240,IF(K35="Deficiencia de control (diseño o ejecución)",260,IF(K35="Oportunidad de mejora",280,300))))</f>
        <v>300</v>
      </c>
      <c r="M35" s="444">
        <v>4.6321000000000003</v>
      </c>
      <c r="N35" s="444">
        <f>+L35+M35</f>
        <v>304.63209999999998</v>
      </c>
    </row>
    <row r="36" spans="1:14" ht="16.5" customHeight="1" x14ac:dyDescent="0.3">
      <c r="B36" s="250"/>
      <c r="C36" s="518"/>
      <c r="D36" s="229"/>
      <c r="E36" s="416"/>
      <c r="F36" s="235"/>
      <c r="G36" s="105">
        <v>2</v>
      </c>
      <c r="H36" s="105"/>
      <c r="I36" s="232"/>
      <c r="J36" s="256"/>
      <c r="K36" s="285"/>
      <c r="L36" s="268"/>
      <c r="M36" s="444"/>
      <c r="N36" s="444"/>
    </row>
    <row r="37" spans="1:14" ht="16.5" customHeight="1" x14ac:dyDescent="0.3">
      <c r="B37" s="250"/>
      <c r="C37" s="518"/>
      <c r="D37" s="229"/>
      <c r="E37" s="416"/>
      <c r="F37" s="235"/>
      <c r="G37" s="105">
        <v>3</v>
      </c>
      <c r="H37" s="105"/>
      <c r="I37" s="232"/>
      <c r="J37" s="256"/>
      <c r="K37" s="285"/>
      <c r="L37" s="268"/>
      <c r="M37" s="444"/>
      <c r="N37" s="444"/>
    </row>
    <row r="38" spans="1:14" ht="16.5" customHeight="1" x14ac:dyDescent="0.3">
      <c r="B38" s="250"/>
      <c r="C38" s="518"/>
      <c r="D38" s="229"/>
      <c r="E38" s="416"/>
      <c r="F38" s="235"/>
      <c r="G38" s="105">
        <v>4</v>
      </c>
      <c r="H38" s="105"/>
      <c r="I38" s="232"/>
      <c r="J38" s="256"/>
      <c r="K38" s="285"/>
      <c r="L38" s="268"/>
      <c r="M38" s="444"/>
      <c r="N38" s="444"/>
    </row>
    <row r="39" spans="1:14" ht="16.5" customHeight="1" x14ac:dyDescent="0.3">
      <c r="B39" s="250"/>
      <c r="C39" s="518"/>
      <c r="D39" s="229"/>
      <c r="E39" s="416"/>
      <c r="F39" s="235"/>
      <c r="G39" s="105">
        <v>5</v>
      </c>
      <c r="H39" s="105"/>
      <c r="I39" s="232"/>
      <c r="J39" s="256"/>
      <c r="K39" s="285"/>
      <c r="L39" s="268"/>
      <c r="M39" s="444"/>
      <c r="N39" s="444"/>
    </row>
    <row r="40" spans="1:14" ht="16.5" customHeight="1" x14ac:dyDescent="0.3">
      <c r="B40" s="250"/>
      <c r="C40" s="518"/>
      <c r="D40" s="229"/>
      <c r="E40" s="416"/>
      <c r="F40" s="235"/>
      <c r="G40" s="105">
        <v>6</v>
      </c>
      <c r="H40" s="105"/>
      <c r="I40" s="232"/>
      <c r="J40" s="256"/>
      <c r="K40" s="285"/>
      <c r="L40" s="268"/>
      <c r="M40" s="444"/>
      <c r="N40" s="444"/>
    </row>
    <row r="41" spans="1:14" ht="16.5" customHeight="1" x14ac:dyDescent="0.3">
      <c r="B41" s="250"/>
      <c r="C41" s="518"/>
      <c r="D41" s="229"/>
      <c r="E41" s="416"/>
      <c r="F41" s="235"/>
      <c r="G41" s="105">
        <v>7</v>
      </c>
      <c r="H41" s="105"/>
      <c r="I41" s="232"/>
      <c r="J41" s="256"/>
      <c r="K41" s="285"/>
      <c r="L41" s="268"/>
      <c r="M41" s="444"/>
      <c r="N41" s="444"/>
    </row>
    <row r="42" spans="1:14" ht="17.25" customHeight="1" thickBot="1" x14ac:dyDescent="0.35">
      <c r="B42" s="251"/>
      <c r="C42" s="519"/>
      <c r="D42" s="230"/>
      <c r="E42" s="417"/>
      <c r="F42" s="236"/>
      <c r="G42" s="109">
        <v>8</v>
      </c>
      <c r="H42" s="109"/>
      <c r="I42" s="233"/>
      <c r="J42" s="257"/>
      <c r="K42" s="286"/>
      <c r="L42" s="268"/>
      <c r="M42" s="444"/>
      <c r="N42" s="444"/>
    </row>
    <row r="43" spans="1:14" ht="82.5" x14ac:dyDescent="0.3">
      <c r="A43" s="546"/>
      <c r="B43" s="249" t="str">
        <f>+LEFT(C43,4)</f>
        <v>13.4</v>
      </c>
      <c r="C43" s="517" t="s">
        <v>244</v>
      </c>
      <c r="D43" s="228" t="s">
        <v>242</v>
      </c>
      <c r="E43" s="333" t="s">
        <v>641</v>
      </c>
      <c r="F43" s="234">
        <v>3</v>
      </c>
      <c r="G43" s="110">
        <v>1</v>
      </c>
      <c r="H43" s="106" t="s">
        <v>642</v>
      </c>
      <c r="I43" s="231" t="s">
        <v>636</v>
      </c>
      <c r="J43" s="255">
        <v>3</v>
      </c>
      <c r="K43" s="284" t="str">
        <f t="shared" si="1"/>
        <v>Mantenimiento del control</v>
      </c>
      <c r="L43" s="268">
        <f t="shared" ref="L43" si="4">+IF(K43="",231,IF(K43="Deficiencia de control mayor (diseño y ejecución)",240,IF(K43="Deficiencia de control (diseño o ejecución)",260,IF(K43="Oportunidad de mejora",280,300))))</f>
        <v>300</v>
      </c>
      <c r="M43" s="444">
        <v>4.7896000000000001</v>
      </c>
      <c r="N43" s="444">
        <f>+L43+M43</f>
        <v>304.78960000000001</v>
      </c>
    </row>
    <row r="44" spans="1:14" ht="16.5" x14ac:dyDescent="0.3">
      <c r="A44" s="546"/>
      <c r="B44" s="250"/>
      <c r="C44" s="518"/>
      <c r="D44" s="229"/>
      <c r="E44" s="416"/>
      <c r="F44" s="235"/>
      <c r="G44" s="105">
        <v>2</v>
      </c>
      <c r="H44" s="105"/>
      <c r="I44" s="232"/>
      <c r="J44" s="256"/>
      <c r="K44" s="285"/>
      <c r="L44" s="268"/>
      <c r="M44" s="444"/>
      <c r="N44" s="444"/>
    </row>
    <row r="45" spans="1:14" ht="16.5" x14ac:dyDescent="0.3">
      <c r="B45" s="250"/>
      <c r="C45" s="518"/>
      <c r="D45" s="229"/>
      <c r="E45" s="416"/>
      <c r="F45" s="235"/>
      <c r="G45" s="105">
        <v>3</v>
      </c>
      <c r="H45" s="105"/>
      <c r="I45" s="232"/>
      <c r="J45" s="256"/>
      <c r="K45" s="285"/>
      <c r="L45" s="268"/>
      <c r="M45" s="444"/>
      <c r="N45" s="444"/>
    </row>
    <row r="46" spans="1:14" ht="16.5" x14ac:dyDescent="0.3">
      <c r="B46" s="250"/>
      <c r="C46" s="518"/>
      <c r="D46" s="229"/>
      <c r="E46" s="416"/>
      <c r="F46" s="235"/>
      <c r="G46" s="105">
        <v>4</v>
      </c>
      <c r="H46" s="105"/>
      <c r="I46" s="232"/>
      <c r="J46" s="256"/>
      <c r="K46" s="285"/>
      <c r="L46" s="268"/>
      <c r="M46" s="444"/>
      <c r="N46" s="444"/>
    </row>
    <row r="47" spans="1:14" ht="16.5" x14ac:dyDescent="0.3">
      <c r="B47" s="250"/>
      <c r="C47" s="518"/>
      <c r="D47" s="229"/>
      <c r="E47" s="416"/>
      <c r="F47" s="235"/>
      <c r="G47" s="105">
        <v>5</v>
      </c>
      <c r="H47" s="105"/>
      <c r="I47" s="232"/>
      <c r="J47" s="256"/>
      <c r="K47" s="285"/>
      <c r="L47" s="268"/>
      <c r="M47" s="444"/>
      <c r="N47" s="444"/>
    </row>
    <row r="48" spans="1:14" ht="16.5" x14ac:dyDescent="0.3">
      <c r="B48" s="250"/>
      <c r="C48" s="518"/>
      <c r="D48" s="229"/>
      <c r="E48" s="416"/>
      <c r="F48" s="235"/>
      <c r="G48" s="105">
        <v>6</v>
      </c>
      <c r="H48" s="105"/>
      <c r="I48" s="232"/>
      <c r="J48" s="256"/>
      <c r="K48" s="285"/>
      <c r="L48" s="268"/>
      <c r="M48" s="444"/>
      <c r="N48" s="444"/>
    </row>
    <row r="49" spans="2:14" ht="16.5" x14ac:dyDescent="0.3">
      <c r="B49" s="250"/>
      <c r="C49" s="518"/>
      <c r="D49" s="229"/>
      <c r="E49" s="416"/>
      <c r="F49" s="235"/>
      <c r="G49" s="105">
        <v>7</v>
      </c>
      <c r="H49" s="105"/>
      <c r="I49" s="232"/>
      <c r="J49" s="256"/>
      <c r="K49" s="285"/>
      <c r="L49" s="268"/>
      <c r="M49" s="444"/>
      <c r="N49" s="444"/>
    </row>
    <row r="50" spans="2:14" ht="17.25" thickBot="1" x14ac:dyDescent="0.35">
      <c r="B50" s="251"/>
      <c r="C50" s="519"/>
      <c r="D50" s="230"/>
      <c r="E50" s="417"/>
      <c r="F50" s="236"/>
      <c r="G50" s="109">
        <v>8</v>
      </c>
      <c r="H50" s="109"/>
      <c r="I50" s="233"/>
      <c r="J50" s="257"/>
      <c r="K50" s="286"/>
      <c r="L50" s="268"/>
      <c r="M50" s="444"/>
      <c r="N50" s="444"/>
    </row>
    <row r="51" spans="2:14" ht="12.75" customHeight="1" x14ac:dyDescent="0.3">
      <c r="B51" s="511"/>
      <c r="C51" s="511" t="s">
        <v>245</v>
      </c>
      <c r="D51" s="525" t="s">
        <v>8</v>
      </c>
      <c r="E51" s="547" t="s">
        <v>113</v>
      </c>
      <c r="F51" s="528" t="s">
        <v>175</v>
      </c>
      <c r="G51" s="527" t="s">
        <v>115</v>
      </c>
      <c r="H51" s="527"/>
      <c r="I51" s="527"/>
      <c r="J51" s="528" t="s">
        <v>176</v>
      </c>
      <c r="K51" s="512" t="s">
        <v>135</v>
      </c>
      <c r="L51" s="442"/>
      <c r="M51" s="442"/>
      <c r="N51" s="442"/>
    </row>
    <row r="52" spans="2:14" ht="15" customHeight="1" x14ac:dyDescent="0.3">
      <c r="B52" s="510"/>
      <c r="C52" s="510"/>
      <c r="D52" s="525"/>
      <c r="E52" s="548"/>
      <c r="F52" s="528"/>
      <c r="G52" s="527"/>
      <c r="H52" s="527"/>
      <c r="I52" s="527"/>
      <c r="J52" s="528"/>
      <c r="K52" s="512"/>
      <c r="L52" s="442"/>
      <c r="M52" s="442"/>
      <c r="N52" s="442"/>
    </row>
    <row r="53" spans="2:14" ht="27.75" customHeight="1" x14ac:dyDescent="0.3">
      <c r="B53" s="510"/>
      <c r="C53" s="510"/>
      <c r="D53" s="525"/>
      <c r="E53" s="548"/>
      <c r="F53" s="528"/>
      <c r="G53" s="527" t="s">
        <v>13</v>
      </c>
      <c r="H53" s="526" t="s">
        <v>15</v>
      </c>
      <c r="I53" s="526" t="s">
        <v>17</v>
      </c>
      <c r="J53" s="528"/>
      <c r="K53" s="512"/>
      <c r="L53" s="442"/>
      <c r="M53" s="442"/>
      <c r="N53" s="442"/>
    </row>
    <row r="54" spans="2:14" ht="87.75" customHeight="1" thickBot="1" x14ac:dyDescent="0.35">
      <c r="B54" s="510"/>
      <c r="C54" s="510"/>
      <c r="D54" s="525"/>
      <c r="E54" s="549"/>
      <c r="F54" s="528"/>
      <c r="G54" s="527"/>
      <c r="H54" s="527"/>
      <c r="I54" s="527"/>
      <c r="J54" s="528"/>
      <c r="K54" s="513"/>
      <c r="L54" s="442"/>
      <c r="M54" s="442"/>
      <c r="N54" s="442"/>
    </row>
    <row r="55" spans="2:14" ht="16.5" x14ac:dyDescent="0.3">
      <c r="B55" s="249" t="str">
        <f>+LEFT(C55,4)</f>
        <v>14.1</v>
      </c>
      <c r="C55" s="540" t="s">
        <v>246</v>
      </c>
      <c r="D55" s="228" t="s">
        <v>247</v>
      </c>
      <c r="E55" s="333" t="s">
        <v>643</v>
      </c>
      <c r="F55" s="234">
        <v>3</v>
      </c>
      <c r="G55" s="110">
        <v>1</v>
      </c>
      <c r="H55" s="151" t="s">
        <v>453</v>
      </c>
      <c r="I55" s="231" t="s">
        <v>636</v>
      </c>
      <c r="J55" s="255">
        <v>3</v>
      </c>
      <c r="K55" s="284" t="str">
        <f t="shared" ref="K55:K79" si="5">+IF(OR(ISBLANK(F55),ISBLANK(J55)),"",IF(OR(AND(F55=1,J55=1),AND(F55=1,J55=2),AND(F55=1,J55=3)),"Deficiencia de control mayor (diseño y ejecución)",IF(OR(AND(F55=2,J55=2),AND(F55=3,J55=1),AND(F55=3,J55=2),AND(F55=2,J55=1)),"Deficiencia de control (diseño o ejecución)",IF(AND(F55=2,J55=3),"Oportunidad de mejora","Mantenimiento del control"))))</f>
        <v>Mantenimiento del control</v>
      </c>
      <c r="L55" s="268">
        <f t="shared" ref="L55" si="6">+IF(K55="",231,IF(K55="Deficiencia de control mayor (diseño y ejecución)",240,IF(K55="Deficiencia de control (diseño o ejecución)",260,IF(K55="Oportunidad de mejora",280,300))))</f>
        <v>300</v>
      </c>
      <c r="M55" s="444">
        <v>4.8964999999999996</v>
      </c>
      <c r="N55" s="444">
        <f>+L55+M55</f>
        <v>304.8965</v>
      </c>
    </row>
    <row r="56" spans="2:14" ht="16.5" x14ac:dyDescent="0.3">
      <c r="B56" s="250"/>
      <c r="C56" s="541"/>
      <c r="D56" s="229"/>
      <c r="E56" s="416"/>
      <c r="F56" s="235"/>
      <c r="G56" s="105">
        <v>2</v>
      </c>
      <c r="H56" s="105"/>
      <c r="I56" s="238"/>
      <c r="J56" s="256"/>
      <c r="K56" s="285"/>
      <c r="L56" s="268"/>
      <c r="M56" s="444"/>
      <c r="N56" s="444"/>
    </row>
    <row r="57" spans="2:14" ht="16.5" x14ac:dyDescent="0.3">
      <c r="B57" s="250"/>
      <c r="C57" s="541"/>
      <c r="D57" s="229"/>
      <c r="E57" s="416"/>
      <c r="F57" s="235"/>
      <c r="G57" s="105">
        <v>3</v>
      </c>
      <c r="H57" s="105"/>
      <c r="I57" s="238"/>
      <c r="J57" s="256"/>
      <c r="K57" s="285"/>
      <c r="L57" s="268"/>
      <c r="M57" s="444"/>
      <c r="N57" s="444"/>
    </row>
    <row r="58" spans="2:14" ht="16.5" x14ac:dyDescent="0.3">
      <c r="B58" s="250"/>
      <c r="C58" s="541"/>
      <c r="D58" s="229"/>
      <c r="E58" s="416"/>
      <c r="F58" s="235"/>
      <c r="G58" s="105">
        <v>4</v>
      </c>
      <c r="H58" s="105"/>
      <c r="I58" s="238"/>
      <c r="J58" s="256"/>
      <c r="K58" s="285"/>
      <c r="L58" s="268"/>
      <c r="M58" s="444"/>
      <c r="N58" s="444"/>
    </row>
    <row r="59" spans="2:14" ht="16.5" x14ac:dyDescent="0.3">
      <c r="B59" s="250"/>
      <c r="C59" s="541"/>
      <c r="D59" s="229"/>
      <c r="E59" s="416"/>
      <c r="F59" s="235"/>
      <c r="G59" s="105">
        <v>5</v>
      </c>
      <c r="H59" s="105"/>
      <c r="I59" s="238"/>
      <c r="J59" s="256"/>
      <c r="K59" s="285"/>
      <c r="L59" s="268"/>
      <c r="M59" s="444"/>
      <c r="N59" s="444"/>
    </row>
    <row r="60" spans="2:14" ht="16.5" x14ac:dyDescent="0.3">
      <c r="B60" s="250"/>
      <c r="C60" s="541"/>
      <c r="D60" s="229"/>
      <c r="E60" s="416"/>
      <c r="F60" s="235"/>
      <c r="G60" s="105">
        <v>6</v>
      </c>
      <c r="H60" s="105"/>
      <c r="I60" s="238"/>
      <c r="J60" s="256"/>
      <c r="K60" s="285"/>
      <c r="L60" s="268"/>
      <c r="M60" s="444"/>
      <c r="N60" s="444"/>
    </row>
    <row r="61" spans="2:14" ht="16.5" x14ac:dyDescent="0.3">
      <c r="B61" s="250"/>
      <c r="C61" s="541"/>
      <c r="D61" s="229"/>
      <c r="E61" s="416"/>
      <c r="F61" s="235"/>
      <c r="G61" s="105">
        <v>7</v>
      </c>
      <c r="H61" s="105"/>
      <c r="I61" s="238"/>
      <c r="J61" s="256"/>
      <c r="K61" s="285"/>
      <c r="L61" s="268"/>
      <c r="M61" s="444"/>
      <c r="N61" s="444"/>
    </row>
    <row r="62" spans="2:14" ht="17.25" thickBot="1" x14ac:dyDescent="0.35">
      <c r="B62" s="251"/>
      <c r="C62" s="542"/>
      <c r="D62" s="230"/>
      <c r="E62" s="417"/>
      <c r="F62" s="236"/>
      <c r="G62" s="109">
        <v>8</v>
      </c>
      <c r="H62" s="109"/>
      <c r="I62" s="239"/>
      <c r="J62" s="257"/>
      <c r="K62" s="286"/>
      <c r="L62" s="268"/>
      <c r="M62" s="444"/>
      <c r="N62" s="444"/>
    </row>
    <row r="63" spans="2:14" ht="16.5" x14ac:dyDescent="0.3">
      <c r="B63" s="249" t="str">
        <f>+LEFT(C63,4)</f>
        <v>14.2</v>
      </c>
      <c r="C63" s="537" t="s">
        <v>248</v>
      </c>
      <c r="D63" s="228" t="s">
        <v>247</v>
      </c>
      <c r="E63" s="333" t="s">
        <v>646</v>
      </c>
      <c r="F63" s="234">
        <v>3</v>
      </c>
      <c r="G63" s="110">
        <v>1</v>
      </c>
      <c r="H63" s="151" t="s">
        <v>454</v>
      </c>
      <c r="I63" s="231" t="s">
        <v>644</v>
      </c>
      <c r="J63" s="255">
        <v>3</v>
      </c>
      <c r="K63" s="284" t="str">
        <f t="shared" si="5"/>
        <v>Mantenimiento del control</v>
      </c>
      <c r="L63" s="268">
        <f t="shared" ref="L63" si="7">+IF(K63="",231,IF(K63="Deficiencia de control mayor (diseño y ejecución)",240,IF(K63="Deficiencia de control (diseño o ejecución)",260,IF(K63="Oportunidad de mejora",280,300))))</f>
        <v>300</v>
      </c>
      <c r="M63" s="444">
        <v>4.9854000000000003</v>
      </c>
      <c r="N63" s="444">
        <f>+L63+M63</f>
        <v>304.98540000000003</v>
      </c>
    </row>
    <row r="64" spans="2:14" ht="16.5" x14ac:dyDescent="0.3">
      <c r="B64" s="250"/>
      <c r="C64" s="538"/>
      <c r="D64" s="229"/>
      <c r="E64" s="416"/>
      <c r="F64" s="235"/>
      <c r="G64" s="105">
        <v>2</v>
      </c>
      <c r="H64" s="140" t="s">
        <v>645</v>
      </c>
      <c r="I64" s="232"/>
      <c r="J64" s="256"/>
      <c r="K64" s="285"/>
      <c r="L64" s="268"/>
      <c r="M64" s="444"/>
      <c r="N64" s="444"/>
    </row>
    <row r="65" spans="2:14" ht="16.5" x14ac:dyDescent="0.3">
      <c r="B65" s="250"/>
      <c r="C65" s="538"/>
      <c r="D65" s="229"/>
      <c r="E65" s="416"/>
      <c r="F65" s="235"/>
      <c r="G65" s="105">
        <v>3</v>
      </c>
      <c r="H65" s="105"/>
      <c r="I65" s="232"/>
      <c r="J65" s="256"/>
      <c r="K65" s="285"/>
      <c r="L65" s="268"/>
      <c r="M65" s="444"/>
      <c r="N65" s="444"/>
    </row>
    <row r="66" spans="2:14" ht="16.5" x14ac:dyDescent="0.3">
      <c r="B66" s="250"/>
      <c r="C66" s="538"/>
      <c r="D66" s="229"/>
      <c r="E66" s="416"/>
      <c r="F66" s="235"/>
      <c r="G66" s="105">
        <v>4</v>
      </c>
      <c r="H66" s="105"/>
      <c r="I66" s="232"/>
      <c r="J66" s="256"/>
      <c r="K66" s="285"/>
      <c r="L66" s="268"/>
      <c r="M66" s="444"/>
      <c r="N66" s="444"/>
    </row>
    <row r="67" spans="2:14" ht="16.5" x14ac:dyDescent="0.3">
      <c r="B67" s="250"/>
      <c r="C67" s="538"/>
      <c r="D67" s="229"/>
      <c r="E67" s="416"/>
      <c r="F67" s="235"/>
      <c r="G67" s="105">
        <v>5</v>
      </c>
      <c r="H67" s="105"/>
      <c r="I67" s="232"/>
      <c r="J67" s="256"/>
      <c r="K67" s="285"/>
      <c r="L67" s="268"/>
      <c r="M67" s="444"/>
      <c r="N67" s="444"/>
    </row>
    <row r="68" spans="2:14" ht="16.5" x14ac:dyDescent="0.3">
      <c r="B68" s="250"/>
      <c r="C68" s="538"/>
      <c r="D68" s="229"/>
      <c r="E68" s="416"/>
      <c r="F68" s="235"/>
      <c r="G68" s="105">
        <v>6</v>
      </c>
      <c r="H68" s="105"/>
      <c r="I68" s="232"/>
      <c r="J68" s="256"/>
      <c r="K68" s="285"/>
      <c r="L68" s="268"/>
      <c r="M68" s="444"/>
      <c r="N68" s="444"/>
    </row>
    <row r="69" spans="2:14" ht="16.5" x14ac:dyDescent="0.3">
      <c r="B69" s="250"/>
      <c r="C69" s="538"/>
      <c r="D69" s="229"/>
      <c r="E69" s="416"/>
      <c r="F69" s="235"/>
      <c r="G69" s="105">
        <v>7</v>
      </c>
      <c r="H69" s="105"/>
      <c r="I69" s="232"/>
      <c r="J69" s="256"/>
      <c r="K69" s="285"/>
      <c r="L69" s="268"/>
      <c r="M69" s="444"/>
      <c r="N69" s="444"/>
    </row>
    <row r="70" spans="2:14" ht="17.25" thickBot="1" x14ac:dyDescent="0.35">
      <c r="B70" s="251"/>
      <c r="C70" s="539"/>
      <c r="D70" s="230"/>
      <c r="E70" s="417"/>
      <c r="F70" s="236"/>
      <c r="G70" s="109">
        <v>8</v>
      </c>
      <c r="H70" s="109"/>
      <c r="I70" s="233"/>
      <c r="J70" s="257"/>
      <c r="K70" s="286"/>
      <c r="L70" s="268"/>
      <c r="M70" s="444"/>
      <c r="N70" s="444"/>
    </row>
    <row r="71" spans="2:14" ht="49.5" x14ac:dyDescent="0.3">
      <c r="B71" s="249" t="str">
        <f>+LEFT(C71,4)</f>
        <v>14.3</v>
      </c>
      <c r="C71" s="534" t="s">
        <v>249</v>
      </c>
      <c r="D71" s="228" t="s">
        <v>247</v>
      </c>
      <c r="E71" s="333" t="s">
        <v>647</v>
      </c>
      <c r="F71" s="234">
        <v>3</v>
      </c>
      <c r="G71" s="110">
        <v>1</v>
      </c>
      <c r="H71" s="106" t="s">
        <v>648</v>
      </c>
      <c r="I71" s="231" t="s">
        <v>455</v>
      </c>
      <c r="J71" s="255">
        <v>3</v>
      </c>
      <c r="K71" s="284" t="str">
        <f t="shared" si="5"/>
        <v>Mantenimiento del control</v>
      </c>
      <c r="L71" s="268">
        <f t="shared" ref="L71" si="8">+IF(K71="",231,IF(K71="Deficiencia de control mayor (diseño y ejecución)",240,IF(K71="Deficiencia de control (diseño o ejecución)",260,IF(K71="Oportunidad de mejora",280,300))))</f>
        <v>300</v>
      </c>
      <c r="M71" s="444">
        <v>5.0122999999999998</v>
      </c>
      <c r="N71" s="444">
        <f>+L71+M71</f>
        <v>305.01229999999998</v>
      </c>
    </row>
    <row r="72" spans="2:14" ht="82.5" x14ac:dyDescent="0.3">
      <c r="B72" s="250"/>
      <c r="C72" s="535"/>
      <c r="D72" s="229"/>
      <c r="E72" s="416"/>
      <c r="F72" s="235"/>
      <c r="G72" s="105">
        <v>2</v>
      </c>
      <c r="H72" s="149" t="s">
        <v>649</v>
      </c>
      <c r="I72" s="232"/>
      <c r="J72" s="256"/>
      <c r="K72" s="285"/>
      <c r="L72" s="268"/>
      <c r="M72" s="444"/>
      <c r="N72" s="444"/>
    </row>
    <row r="73" spans="2:14" ht="16.5" x14ac:dyDescent="0.3">
      <c r="B73" s="250"/>
      <c r="C73" s="535"/>
      <c r="D73" s="229"/>
      <c r="E73" s="416"/>
      <c r="F73" s="235"/>
      <c r="G73" s="105">
        <v>3</v>
      </c>
      <c r="H73" s="105"/>
      <c r="I73" s="232"/>
      <c r="J73" s="256"/>
      <c r="K73" s="285"/>
      <c r="L73" s="268"/>
      <c r="M73" s="444"/>
      <c r="N73" s="444"/>
    </row>
    <row r="74" spans="2:14" ht="16.5" x14ac:dyDescent="0.3">
      <c r="B74" s="250"/>
      <c r="C74" s="535"/>
      <c r="D74" s="229"/>
      <c r="E74" s="416"/>
      <c r="F74" s="235"/>
      <c r="G74" s="105">
        <v>4</v>
      </c>
      <c r="H74" s="105"/>
      <c r="I74" s="232"/>
      <c r="J74" s="256"/>
      <c r="K74" s="285"/>
      <c r="L74" s="268"/>
      <c r="M74" s="444"/>
      <c r="N74" s="444"/>
    </row>
    <row r="75" spans="2:14" ht="16.5" x14ac:dyDescent="0.3">
      <c r="B75" s="250"/>
      <c r="C75" s="535"/>
      <c r="D75" s="229"/>
      <c r="E75" s="416"/>
      <c r="F75" s="235"/>
      <c r="G75" s="105">
        <v>5</v>
      </c>
      <c r="H75" s="105"/>
      <c r="I75" s="232"/>
      <c r="J75" s="256"/>
      <c r="K75" s="285"/>
      <c r="L75" s="268"/>
      <c r="M75" s="444"/>
      <c r="N75" s="444"/>
    </row>
    <row r="76" spans="2:14" ht="16.5" x14ac:dyDescent="0.3">
      <c r="B76" s="250"/>
      <c r="C76" s="535"/>
      <c r="D76" s="229"/>
      <c r="E76" s="416"/>
      <c r="F76" s="235"/>
      <c r="G76" s="105">
        <v>6</v>
      </c>
      <c r="H76" s="105"/>
      <c r="I76" s="232"/>
      <c r="J76" s="256"/>
      <c r="K76" s="285"/>
      <c r="L76" s="268"/>
      <c r="M76" s="444"/>
      <c r="N76" s="444"/>
    </row>
    <row r="77" spans="2:14" ht="16.5" x14ac:dyDescent="0.3">
      <c r="B77" s="250"/>
      <c r="C77" s="535"/>
      <c r="D77" s="229"/>
      <c r="E77" s="416"/>
      <c r="F77" s="235"/>
      <c r="G77" s="105">
        <v>7</v>
      </c>
      <c r="H77" s="105"/>
      <c r="I77" s="232"/>
      <c r="J77" s="256"/>
      <c r="K77" s="285"/>
      <c r="L77" s="268"/>
      <c r="M77" s="444"/>
      <c r="N77" s="444"/>
    </row>
    <row r="78" spans="2:14" ht="17.25" thickBot="1" x14ac:dyDescent="0.35">
      <c r="B78" s="251"/>
      <c r="C78" s="536"/>
      <c r="D78" s="230"/>
      <c r="E78" s="417"/>
      <c r="F78" s="236"/>
      <c r="G78" s="109">
        <v>8</v>
      </c>
      <c r="H78" s="109"/>
      <c r="I78" s="233"/>
      <c r="J78" s="257"/>
      <c r="K78" s="286"/>
      <c r="L78" s="268"/>
      <c r="M78" s="444"/>
      <c r="N78" s="444"/>
    </row>
    <row r="79" spans="2:14" ht="49.5" x14ac:dyDescent="0.3">
      <c r="B79" s="249" t="str">
        <f>+LEFT(C79,4)</f>
        <v>14.4</v>
      </c>
      <c r="C79" s="537" t="s">
        <v>250</v>
      </c>
      <c r="D79" s="228" t="s">
        <v>247</v>
      </c>
      <c r="E79" s="333" t="s">
        <v>650</v>
      </c>
      <c r="F79" s="234">
        <v>3</v>
      </c>
      <c r="G79" s="110">
        <v>1</v>
      </c>
      <c r="H79" s="106" t="s">
        <v>637</v>
      </c>
      <c r="I79" s="231" t="s">
        <v>636</v>
      </c>
      <c r="J79" s="255">
        <v>3</v>
      </c>
      <c r="K79" s="284" t="str">
        <f t="shared" si="5"/>
        <v>Mantenimiento del control</v>
      </c>
      <c r="L79" s="268">
        <f t="shared" ref="L79" si="9">+IF(K79="",231,IF(K79="Deficiencia de control mayor (diseño y ejecución)",240,IF(K79="Deficiencia de control (diseño o ejecución)",260,IF(K79="Oportunidad de mejora",280,300))))</f>
        <v>300</v>
      </c>
      <c r="M79" s="444">
        <v>5.1235999999999997</v>
      </c>
      <c r="N79" s="444">
        <f>+L79+M79</f>
        <v>305.12360000000001</v>
      </c>
    </row>
    <row r="80" spans="2:14" ht="16.5" x14ac:dyDescent="0.3">
      <c r="B80" s="250"/>
      <c r="C80" s="538"/>
      <c r="D80" s="229"/>
      <c r="E80" s="416"/>
      <c r="F80" s="235"/>
      <c r="G80" s="105">
        <v>2</v>
      </c>
      <c r="H80" s="105"/>
      <c r="I80" s="232"/>
      <c r="J80" s="256"/>
      <c r="K80" s="285"/>
      <c r="L80" s="268"/>
      <c r="M80" s="444"/>
      <c r="N80" s="444"/>
    </row>
    <row r="81" spans="2:14" ht="16.5" x14ac:dyDescent="0.3">
      <c r="B81" s="250"/>
      <c r="C81" s="538"/>
      <c r="D81" s="229"/>
      <c r="E81" s="416"/>
      <c r="F81" s="235"/>
      <c r="G81" s="105">
        <v>3</v>
      </c>
      <c r="H81" s="105"/>
      <c r="I81" s="232"/>
      <c r="J81" s="256"/>
      <c r="K81" s="285"/>
      <c r="L81" s="268"/>
      <c r="M81" s="444"/>
      <c r="N81" s="444"/>
    </row>
    <row r="82" spans="2:14" ht="16.5" x14ac:dyDescent="0.3">
      <c r="B82" s="250"/>
      <c r="C82" s="538"/>
      <c r="D82" s="229"/>
      <c r="E82" s="416"/>
      <c r="F82" s="235"/>
      <c r="G82" s="105">
        <v>4</v>
      </c>
      <c r="H82" s="105"/>
      <c r="I82" s="232"/>
      <c r="J82" s="256"/>
      <c r="K82" s="285"/>
      <c r="L82" s="268"/>
      <c r="M82" s="444"/>
      <c r="N82" s="444"/>
    </row>
    <row r="83" spans="2:14" ht="16.5" x14ac:dyDescent="0.3">
      <c r="B83" s="250"/>
      <c r="C83" s="538"/>
      <c r="D83" s="229"/>
      <c r="E83" s="416"/>
      <c r="F83" s="235"/>
      <c r="G83" s="105">
        <v>5</v>
      </c>
      <c r="H83" s="105"/>
      <c r="I83" s="232"/>
      <c r="J83" s="256"/>
      <c r="K83" s="285"/>
      <c r="L83" s="268"/>
      <c r="M83" s="444"/>
      <c r="N83" s="444"/>
    </row>
    <row r="84" spans="2:14" ht="16.5" x14ac:dyDescent="0.3">
      <c r="B84" s="250"/>
      <c r="C84" s="538"/>
      <c r="D84" s="229"/>
      <c r="E84" s="416"/>
      <c r="F84" s="235"/>
      <c r="G84" s="105">
        <v>6</v>
      </c>
      <c r="H84" s="105"/>
      <c r="I84" s="232"/>
      <c r="J84" s="256"/>
      <c r="K84" s="285"/>
      <c r="L84" s="268"/>
      <c r="M84" s="444"/>
      <c r="N84" s="444"/>
    </row>
    <row r="85" spans="2:14" ht="16.5" x14ac:dyDescent="0.3">
      <c r="B85" s="250"/>
      <c r="C85" s="538"/>
      <c r="D85" s="229"/>
      <c r="E85" s="416"/>
      <c r="F85" s="235"/>
      <c r="G85" s="105">
        <v>7</v>
      </c>
      <c r="H85" s="105"/>
      <c r="I85" s="232"/>
      <c r="J85" s="256"/>
      <c r="K85" s="285"/>
      <c r="L85" s="268"/>
      <c r="M85" s="444"/>
      <c r="N85" s="444"/>
    </row>
    <row r="86" spans="2:14" ht="17.25" thickBot="1" x14ac:dyDescent="0.35">
      <c r="B86" s="251"/>
      <c r="C86" s="539"/>
      <c r="D86" s="230"/>
      <c r="E86" s="417"/>
      <c r="F86" s="236"/>
      <c r="G86" s="109">
        <v>8</v>
      </c>
      <c r="H86" s="109"/>
      <c r="I86" s="233"/>
      <c r="J86" s="257"/>
      <c r="K86" s="286"/>
      <c r="L86" s="268"/>
      <c r="M86" s="444"/>
      <c r="N86" s="444"/>
    </row>
    <row r="87" spans="2:14" ht="12.75" customHeight="1" x14ac:dyDescent="0.3">
      <c r="B87" s="511"/>
      <c r="C87" s="511" t="s">
        <v>251</v>
      </c>
      <c r="D87" s="525" t="s">
        <v>8</v>
      </c>
      <c r="E87" s="547" t="s">
        <v>113</v>
      </c>
      <c r="F87" s="528" t="s">
        <v>175</v>
      </c>
      <c r="G87" s="527" t="s">
        <v>115</v>
      </c>
      <c r="H87" s="527"/>
      <c r="I87" s="527"/>
      <c r="J87" s="528" t="s">
        <v>176</v>
      </c>
      <c r="K87" s="512" t="s">
        <v>135</v>
      </c>
      <c r="L87" s="442"/>
      <c r="M87" s="442"/>
      <c r="N87" s="442"/>
    </row>
    <row r="88" spans="2:14" ht="15" customHeight="1" x14ac:dyDescent="0.3">
      <c r="B88" s="510"/>
      <c r="C88" s="510"/>
      <c r="D88" s="525"/>
      <c r="E88" s="548"/>
      <c r="F88" s="528"/>
      <c r="G88" s="527"/>
      <c r="H88" s="527"/>
      <c r="I88" s="527"/>
      <c r="J88" s="528"/>
      <c r="K88" s="512"/>
      <c r="L88" s="442"/>
      <c r="M88" s="442"/>
      <c r="N88" s="442"/>
    </row>
    <row r="89" spans="2:14" ht="27.75" customHeight="1" x14ac:dyDescent="0.3">
      <c r="B89" s="510"/>
      <c r="C89" s="510"/>
      <c r="D89" s="525"/>
      <c r="E89" s="548"/>
      <c r="F89" s="528"/>
      <c r="G89" s="527" t="s">
        <v>13</v>
      </c>
      <c r="H89" s="526" t="s">
        <v>15</v>
      </c>
      <c r="I89" s="526" t="s">
        <v>17</v>
      </c>
      <c r="J89" s="528"/>
      <c r="K89" s="512"/>
      <c r="L89" s="442"/>
      <c r="M89" s="442"/>
      <c r="N89" s="442"/>
    </row>
    <row r="90" spans="2:14" ht="72" customHeight="1" thickBot="1" x14ac:dyDescent="0.35">
      <c r="B90" s="510"/>
      <c r="C90" s="510"/>
      <c r="D90" s="525"/>
      <c r="E90" s="549"/>
      <c r="F90" s="528"/>
      <c r="G90" s="527"/>
      <c r="H90" s="527"/>
      <c r="I90" s="527"/>
      <c r="J90" s="528"/>
      <c r="K90" s="513"/>
      <c r="L90" s="442"/>
      <c r="M90" s="442"/>
      <c r="N90" s="442"/>
    </row>
    <row r="91" spans="2:14" ht="58.5" customHeight="1" x14ac:dyDescent="0.3">
      <c r="B91" s="249" t="str">
        <f>+LEFT(C91,4)</f>
        <v>15.1</v>
      </c>
      <c r="C91" s="518" t="s">
        <v>252</v>
      </c>
      <c r="D91" s="228" t="s">
        <v>253</v>
      </c>
      <c r="E91" s="333" t="s">
        <v>651</v>
      </c>
      <c r="F91" s="234">
        <v>3</v>
      </c>
      <c r="G91" s="110">
        <v>1</v>
      </c>
      <c r="H91" s="106" t="s">
        <v>637</v>
      </c>
      <c r="I91" s="231" t="s">
        <v>653</v>
      </c>
      <c r="J91" s="255">
        <v>3</v>
      </c>
      <c r="K91" s="284" t="str">
        <f t="shared" ref="K91:K131" si="10">+IF(OR(ISBLANK(F91),ISBLANK(J91)),"",IF(OR(AND(F91=1,J91=1),AND(F91=1,J91=2),AND(F91=1,J91=3)),"Deficiencia de control mayor (diseño y ejecución)",IF(OR(AND(F91=2,J91=2),AND(F91=3,J91=1),AND(F91=3,J91=2),AND(F91=2,J91=1)),"Deficiencia de control (diseño o ejecución)",IF(AND(F91=2,J91=3),"Oportunidad de mejora","Mantenimiento del control"))))</f>
        <v>Mantenimiento del control</v>
      </c>
      <c r="L91" s="268">
        <f t="shared" ref="L91" si="11">+IF(K91="",231,IF(K91="Deficiencia de control mayor (diseño y ejecución)",240,IF(K91="Deficiencia de control (diseño o ejecución)",260,IF(K91="Oportunidad de mejora",280,300))))</f>
        <v>300</v>
      </c>
      <c r="M91" s="444">
        <v>5.2369000000000003</v>
      </c>
      <c r="N91" s="444">
        <f>+L91+M91</f>
        <v>305.23689999999999</v>
      </c>
    </row>
    <row r="92" spans="2:14" ht="44.1" customHeight="1" x14ac:dyDescent="0.3">
      <c r="B92" s="250"/>
      <c r="C92" s="518"/>
      <c r="D92" s="229"/>
      <c r="E92" s="416"/>
      <c r="F92" s="235"/>
      <c r="G92" s="105">
        <v>2</v>
      </c>
      <c r="H92" s="149" t="s">
        <v>652</v>
      </c>
      <c r="I92" s="232"/>
      <c r="J92" s="256"/>
      <c r="K92" s="285"/>
      <c r="L92" s="268"/>
      <c r="M92" s="444"/>
      <c r="N92" s="444"/>
    </row>
    <row r="93" spans="2:14" ht="22.5" customHeight="1" x14ac:dyDescent="0.3">
      <c r="B93" s="250"/>
      <c r="C93" s="518"/>
      <c r="D93" s="229"/>
      <c r="E93" s="416"/>
      <c r="F93" s="235"/>
      <c r="G93" s="105">
        <v>3</v>
      </c>
      <c r="H93" s="105"/>
      <c r="I93" s="232"/>
      <c r="J93" s="256"/>
      <c r="K93" s="285"/>
      <c r="L93" s="268"/>
      <c r="M93" s="444"/>
      <c r="N93" s="444"/>
    </row>
    <row r="94" spans="2:14" ht="22.5" customHeight="1" x14ac:dyDescent="0.3">
      <c r="B94" s="250"/>
      <c r="C94" s="518"/>
      <c r="D94" s="229"/>
      <c r="E94" s="416"/>
      <c r="F94" s="235"/>
      <c r="G94" s="105">
        <v>4</v>
      </c>
      <c r="H94" s="105"/>
      <c r="I94" s="232"/>
      <c r="J94" s="256"/>
      <c r="K94" s="285"/>
      <c r="L94" s="268"/>
      <c r="M94" s="444"/>
      <c r="N94" s="444"/>
    </row>
    <row r="95" spans="2:14" ht="22.5" customHeight="1" x14ac:dyDescent="0.3">
      <c r="B95" s="250"/>
      <c r="C95" s="518"/>
      <c r="D95" s="229"/>
      <c r="E95" s="416"/>
      <c r="F95" s="235"/>
      <c r="G95" s="105">
        <v>5</v>
      </c>
      <c r="H95" s="105"/>
      <c r="I95" s="232"/>
      <c r="J95" s="256"/>
      <c r="K95" s="285"/>
      <c r="L95" s="268"/>
      <c r="M95" s="444"/>
      <c r="N95" s="444"/>
    </row>
    <row r="96" spans="2:14" ht="22.5" customHeight="1" x14ac:dyDescent="0.3">
      <c r="B96" s="250"/>
      <c r="C96" s="518"/>
      <c r="D96" s="229"/>
      <c r="E96" s="416"/>
      <c r="F96" s="235"/>
      <c r="G96" s="105">
        <v>6</v>
      </c>
      <c r="H96" s="105"/>
      <c r="I96" s="232"/>
      <c r="J96" s="256"/>
      <c r="K96" s="285"/>
      <c r="L96" s="268"/>
      <c r="M96" s="444"/>
      <c r="N96" s="444"/>
    </row>
    <row r="97" spans="2:14" ht="22.5" customHeight="1" x14ac:dyDescent="0.3">
      <c r="B97" s="250"/>
      <c r="C97" s="518"/>
      <c r="D97" s="229"/>
      <c r="E97" s="416"/>
      <c r="F97" s="235"/>
      <c r="G97" s="105">
        <v>7</v>
      </c>
      <c r="H97" s="105"/>
      <c r="I97" s="232"/>
      <c r="J97" s="256"/>
      <c r="K97" s="285"/>
      <c r="L97" s="268"/>
      <c r="M97" s="444"/>
      <c r="N97" s="444"/>
    </row>
    <row r="98" spans="2:14" ht="22.5" customHeight="1" thickBot="1" x14ac:dyDescent="0.35">
      <c r="B98" s="251"/>
      <c r="C98" s="519"/>
      <c r="D98" s="230"/>
      <c r="E98" s="417"/>
      <c r="F98" s="236"/>
      <c r="G98" s="109">
        <v>8</v>
      </c>
      <c r="H98" s="109"/>
      <c r="I98" s="233"/>
      <c r="J98" s="257"/>
      <c r="K98" s="286"/>
      <c r="L98" s="268"/>
      <c r="M98" s="444"/>
      <c r="N98" s="444"/>
    </row>
    <row r="99" spans="2:14" ht="60" customHeight="1" x14ac:dyDescent="0.3">
      <c r="B99" s="249" t="str">
        <f>+LEFT(C99,4)</f>
        <v>15.2</v>
      </c>
      <c r="C99" s="518" t="s">
        <v>254</v>
      </c>
      <c r="D99" s="228" t="s">
        <v>255</v>
      </c>
      <c r="E99" s="333" t="s">
        <v>651</v>
      </c>
      <c r="F99" s="234">
        <v>3</v>
      </c>
      <c r="G99" s="110">
        <v>1</v>
      </c>
      <c r="H99" s="106" t="s">
        <v>654</v>
      </c>
      <c r="I99" s="237" t="s">
        <v>456</v>
      </c>
      <c r="J99" s="255">
        <v>3</v>
      </c>
      <c r="K99" s="284" t="str">
        <f t="shared" si="10"/>
        <v>Mantenimiento del control</v>
      </c>
      <c r="L99" s="268">
        <f t="shared" ref="L99" si="12">+IF(K99="",231,IF(K99="Deficiencia de control mayor (diseño y ejecución)",240,IF(K99="Deficiencia de control (diseño o ejecución)",260,IF(K99="Oportunidad de mejora",280,300))))</f>
        <v>300</v>
      </c>
      <c r="M99" s="444">
        <v>5.3654000000000002</v>
      </c>
      <c r="N99" s="444">
        <f>+L99+M99</f>
        <v>305.36540000000002</v>
      </c>
    </row>
    <row r="100" spans="2:14" ht="26.25" customHeight="1" x14ac:dyDescent="0.3">
      <c r="B100" s="250"/>
      <c r="C100" s="518"/>
      <c r="D100" s="229"/>
      <c r="E100" s="416"/>
      <c r="F100" s="235"/>
      <c r="G100" s="105">
        <v>2</v>
      </c>
      <c r="H100" s="149" t="s">
        <v>655</v>
      </c>
      <c r="I100" s="238"/>
      <c r="J100" s="256"/>
      <c r="K100" s="285"/>
      <c r="L100" s="268"/>
      <c r="M100" s="444"/>
      <c r="N100" s="444"/>
    </row>
    <row r="101" spans="2:14" ht="26.25" customHeight="1" x14ac:dyDescent="0.3">
      <c r="B101" s="250"/>
      <c r="C101" s="518"/>
      <c r="D101" s="229"/>
      <c r="E101" s="416"/>
      <c r="F101" s="235"/>
      <c r="G101" s="105">
        <v>3</v>
      </c>
      <c r="H101" s="149" t="s">
        <v>657</v>
      </c>
      <c r="I101" s="238"/>
      <c r="J101" s="256"/>
      <c r="K101" s="285"/>
      <c r="L101" s="268"/>
      <c r="M101" s="444"/>
      <c r="N101" s="444"/>
    </row>
    <row r="102" spans="2:14" ht="26.25" customHeight="1" x14ac:dyDescent="0.3">
      <c r="B102" s="250"/>
      <c r="C102" s="518"/>
      <c r="D102" s="229"/>
      <c r="E102" s="416"/>
      <c r="F102" s="235"/>
      <c r="G102" s="105">
        <v>4</v>
      </c>
      <c r="H102" s="149" t="s">
        <v>656</v>
      </c>
      <c r="I102" s="238"/>
      <c r="J102" s="256"/>
      <c r="K102" s="285"/>
      <c r="L102" s="268"/>
      <c r="M102" s="444"/>
      <c r="N102" s="444"/>
    </row>
    <row r="103" spans="2:14" ht="26.25" customHeight="1" x14ac:dyDescent="0.3">
      <c r="B103" s="250"/>
      <c r="C103" s="518"/>
      <c r="D103" s="229"/>
      <c r="E103" s="416"/>
      <c r="F103" s="235"/>
      <c r="G103" s="105">
        <v>5</v>
      </c>
      <c r="H103" s="105"/>
      <c r="I103" s="238"/>
      <c r="J103" s="256"/>
      <c r="K103" s="285"/>
      <c r="L103" s="268"/>
      <c r="M103" s="444"/>
      <c r="N103" s="444"/>
    </row>
    <row r="104" spans="2:14" ht="26.25" customHeight="1" x14ac:dyDescent="0.3">
      <c r="B104" s="250"/>
      <c r="C104" s="518"/>
      <c r="D104" s="229"/>
      <c r="E104" s="416"/>
      <c r="F104" s="235"/>
      <c r="G104" s="105">
        <v>6</v>
      </c>
      <c r="H104" s="105"/>
      <c r="I104" s="238"/>
      <c r="J104" s="256"/>
      <c r="K104" s="285"/>
      <c r="L104" s="268"/>
      <c r="M104" s="444"/>
      <c r="N104" s="444"/>
    </row>
    <row r="105" spans="2:14" ht="26.25" customHeight="1" x14ac:dyDescent="0.3">
      <c r="B105" s="250"/>
      <c r="C105" s="518"/>
      <c r="D105" s="229"/>
      <c r="E105" s="416"/>
      <c r="F105" s="235"/>
      <c r="G105" s="105">
        <v>7</v>
      </c>
      <c r="H105" s="105"/>
      <c r="I105" s="238"/>
      <c r="J105" s="256"/>
      <c r="K105" s="285"/>
      <c r="L105" s="268"/>
      <c r="M105" s="444"/>
      <c r="N105" s="444"/>
    </row>
    <row r="106" spans="2:14" ht="26.25" customHeight="1" thickBot="1" x14ac:dyDescent="0.35">
      <c r="B106" s="251"/>
      <c r="C106" s="518"/>
      <c r="D106" s="230"/>
      <c r="E106" s="417"/>
      <c r="F106" s="236"/>
      <c r="G106" s="109">
        <v>8</v>
      </c>
      <c r="H106" s="109"/>
      <c r="I106" s="239"/>
      <c r="J106" s="257"/>
      <c r="K106" s="286"/>
      <c r="L106" s="268"/>
      <c r="M106" s="444"/>
      <c r="N106" s="444"/>
    </row>
    <row r="107" spans="2:14" ht="49.5" x14ac:dyDescent="0.3">
      <c r="B107" s="249" t="str">
        <f>+LEFT(C107,4)</f>
        <v>15.3</v>
      </c>
      <c r="C107" s="517" t="s">
        <v>256</v>
      </c>
      <c r="D107" s="228" t="s">
        <v>257</v>
      </c>
      <c r="E107" s="333" t="s">
        <v>471</v>
      </c>
      <c r="F107" s="234">
        <v>3</v>
      </c>
      <c r="G107" s="110">
        <v>1</v>
      </c>
      <c r="H107" s="106" t="s">
        <v>461</v>
      </c>
      <c r="I107" s="237" t="s">
        <v>457</v>
      </c>
      <c r="J107" s="255">
        <v>3</v>
      </c>
      <c r="K107" s="284" t="str">
        <f t="shared" si="10"/>
        <v>Mantenimiento del control</v>
      </c>
      <c r="L107" s="268">
        <f t="shared" ref="L107" si="13">+IF(K107="",231,IF(K107="Deficiencia de control mayor (diseño y ejecución)",240,IF(K107="Deficiencia de control (diseño o ejecución)",260,IF(K107="Oportunidad de mejora",280,300))))</f>
        <v>300</v>
      </c>
      <c r="M107" s="444">
        <v>5.4562999999999997</v>
      </c>
      <c r="N107" s="444">
        <f>+L107+M107</f>
        <v>305.4563</v>
      </c>
    </row>
    <row r="108" spans="2:14" ht="16.5" x14ac:dyDescent="0.3">
      <c r="B108" s="250"/>
      <c r="C108" s="518"/>
      <c r="D108" s="229"/>
      <c r="E108" s="416"/>
      <c r="F108" s="235"/>
      <c r="G108" s="105">
        <v>2</v>
      </c>
      <c r="H108" s="105"/>
      <c r="I108" s="238"/>
      <c r="J108" s="256"/>
      <c r="K108" s="285"/>
      <c r="L108" s="268"/>
      <c r="M108" s="444"/>
      <c r="N108" s="444"/>
    </row>
    <row r="109" spans="2:14" ht="16.5" x14ac:dyDescent="0.3">
      <c r="B109" s="250"/>
      <c r="C109" s="518"/>
      <c r="D109" s="229"/>
      <c r="E109" s="416"/>
      <c r="F109" s="235"/>
      <c r="G109" s="105">
        <v>3</v>
      </c>
      <c r="H109" s="105"/>
      <c r="I109" s="238"/>
      <c r="J109" s="256"/>
      <c r="K109" s="285"/>
      <c r="L109" s="268"/>
      <c r="M109" s="444"/>
      <c r="N109" s="444"/>
    </row>
    <row r="110" spans="2:14" ht="16.5" x14ac:dyDescent="0.3">
      <c r="B110" s="250"/>
      <c r="C110" s="518"/>
      <c r="D110" s="229"/>
      <c r="E110" s="416"/>
      <c r="F110" s="235"/>
      <c r="G110" s="105">
        <v>4</v>
      </c>
      <c r="H110" s="105"/>
      <c r="I110" s="238"/>
      <c r="J110" s="256"/>
      <c r="K110" s="285"/>
      <c r="L110" s="268"/>
      <c r="M110" s="444"/>
      <c r="N110" s="444"/>
    </row>
    <row r="111" spans="2:14" ht="16.5" x14ac:dyDescent="0.3">
      <c r="B111" s="250"/>
      <c r="C111" s="518"/>
      <c r="D111" s="229"/>
      <c r="E111" s="416"/>
      <c r="F111" s="235"/>
      <c r="G111" s="105">
        <v>5</v>
      </c>
      <c r="H111" s="105"/>
      <c r="I111" s="238"/>
      <c r="J111" s="256"/>
      <c r="K111" s="285"/>
      <c r="L111" s="268"/>
      <c r="M111" s="444"/>
      <c r="N111" s="444"/>
    </row>
    <row r="112" spans="2:14" ht="16.5" x14ac:dyDescent="0.3">
      <c r="B112" s="250"/>
      <c r="C112" s="518"/>
      <c r="D112" s="229"/>
      <c r="E112" s="416"/>
      <c r="F112" s="235"/>
      <c r="G112" s="105">
        <v>6</v>
      </c>
      <c r="H112" s="105"/>
      <c r="I112" s="238"/>
      <c r="J112" s="256"/>
      <c r="K112" s="285"/>
      <c r="L112" s="268"/>
      <c r="M112" s="444"/>
      <c r="N112" s="444"/>
    </row>
    <row r="113" spans="2:14" ht="16.5" x14ac:dyDescent="0.3">
      <c r="B113" s="250"/>
      <c r="C113" s="518"/>
      <c r="D113" s="229"/>
      <c r="E113" s="416"/>
      <c r="F113" s="235"/>
      <c r="G113" s="105">
        <v>7</v>
      </c>
      <c r="H113" s="105"/>
      <c r="I113" s="238"/>
      <c r="J113" s="256"/>
      <c r="K113" s="285"/>
      <c r="L113" s="268"/>
      <c r="M113" s="444"/>
      <c r="N113" s="444"/>
    </row>
    <row r="114" spans="2:14" ht="17.25" thickBot="1" x14ac:dyDescent="0.35">
      <c r="B114" s="251"/>
      <c r="C114" s="519"/>
      <c r="D114" s="230"/>
      <c r="E114" s="417"/>
      <c r="F114" s="236"/>
      <c r="G114" s="109">
        <v>8</v>
      </c>
      <c r="H114" s="109"/>
      <c r="I114" s="239"/>
      <c r="J114" s="257"/>
      <c r="K114" s="286"/>
      <c r="L114" s="268"/>
      <c r="M114" s="444"/>
      <c r="N114" s="444"/>
    </row>
    <row r="115" spans="2:14" ht="60" customHeight="1" x14ac:dyDescent="0.3">
      <c r="B115" s="249" t="str">
        <f>+LEFT(C115,4)</f>
        <v>15.4</v>
      </c>
      <c r="C115" s="529" t="s">
        <v>258</v>
      </c>
      <c r="D115" s="228" t="s">
        <v>259</v>
      </c>
      <c r="E115" s="333" t="s">
        <v>660</v>
      </c>
      <c r="F115" s="234">
        <v>3</v>
      </c>
      <c r="G115" s="110">
        <v>1</v>
      </c>
      <c r="H115" s="106" t="s">
        <v>658</v>
      </c>
      <c r="I115" s="333" t="s">
        <v>659</v>
      </c>
      <c r="J115" s="255">
        <v>3</v>
      </c>
      <c r="K115" s="284" t="str">
        <f t="shared" si="10"/>
        <v>Mantenimiento del control</v>
      </c>
      <c r="L115" s="268">
        <f t="shared" ref="L115" si="14">+IF(K115="",231,IF(K115="Deficiencia de control mayor (diseño y ejecución)",240,IF(K115="Deficiencia de control (diseño o ejecución)",260,IF(K115="Oportunidad de mejora",280,300))))</f>
        <v>300</v>
      </c>
      <c r="M115" s="444">
        <v>5.5632000000000001</v>
      </c>
      <c r="N115" s="444">
        <f>+L115+M115</f>
        <v>305.56319999999999</v>
      </c>
    </row>
    <row r="116" spans="2:14" ht="16.5" customHeight="1" x14ac:dyDescent="0.3">
      <c r="B116" s="250"/>
      <c r="C116" s="518"/>
      <c r="D116" s="229"/>
      <c r="E116" s="416"/>
      <c r="F116" s="235"/>
      <c r="G116" s="105">
        <v>2</v>
      </c>
      <c r="H116" s="105"/>
      <c r="I116" s="416"/>
      <c r="J116" s="256"/>
      <c r="K116" s="285"/>
      <c r="L116" s="268"/>
      <c r="M116" s="444"/>
      <c r="N116" s="444"/>
    </row>
    <row r="117" spans="2:14" ht="16.5" customHeight="1" x14ac:dyDescent="0.3">
      <c r="B117" s="250"/>
      <c r="C117" s="518"/>
      <c r="D117" s="229"/>
      <c r="E117" s="416"/>
      <c r="F117" s="235"/>
      <c r="G117" s="105">
        <v>3</v>
      </c>
      <c r="H117" s="105"/>
      <c r="I117" s="416"/>
      <c r="J117" s="256"/>
      <c r="K117" s="285"/>
      <c r="L117" s="268"/>
      <c r="M117" s="444"/>
      <c r="N117" s="444"/>
    </row>
    <row r="118" spans="2:14" ht="16.5" customHeight="1" x14ac:dyDescent="0.3">
      <c r="B118" s="250"/>
      <c r="C118" s="518"/>
      <c r="D118" s="229"/>
      <c r="E118" s="416"/>
      <c r="F118" s="235"/>
      <c r="G118" s="105">
        <v>4</v>
      </c>
      <c r="H118" s="105"/>
      <c r="I118" s="416"/>
      <c r="J118" s="256"/>
      <c r="K118" s="285"/>
      <c r="L118" s="268"/>
      <c r="M118" s="444"/>
      <c r="N118" s="444"/>
    </row>
    <row r="119" spans="2:14" ht="16.5" customHeight="1" x14ac:dyDescent="0.3">
      <c r="B119" s="250"/>
      <c r="C119" s="518"/>
      <c r="D119" s="229"/>
      <c r="E119" s="416"/>
      <c r="F119" s="235"/>
      <c r="G119" s="105">
        <v>5</v>
      </c>
      <c r="H119" s="105"/>
      <c r="I119" s="416"/>
      <c r="J119" s="256"/>
      <c r="K119" s="285"/>
      <c r="L119" s="268"/>
      <c r="M119" s="444"/>
      <c r="N119" s="444"/>
    </row>
    <row r="120" spans="2:14" ht="16.5" customHeight="1" x14ac:dyDescent="0.3">
      <c r="B120" s="250"/>
      <c r="C120" s="518"/>
      <c r="D120" s="229"/>
      <c r="E120" s="416"/>
      <c r="F120" s="235"/>
      <c r="G120" s="105">
        <v>6</v>
      </c>
      <c r="H120" s="105"/>
      <c r="I120" s="416"/>
      <c r="J120" s="256"/>
      <c r="K120" s="285"/>
      <c r="L120" s="268"/>
      <c r="M120" s="444"/>
      <c r="N120" s="444"/>
    </row>
    <row r="121" spans="2:14" ht="16.5" customHeight="1" x14ac:dyDescent="0.3">
      <c r="B121" s="250"/>
      <c r="C121" s="518"/>
      <c r="D121" s="229"/>
      <c r="E121" s="416"/>
      <c r="F121" s="235"/>
      <c r="G121" s="105">
        <v>7</v>
      </c>
      <c r="H121" s="105"/>
      <c r="I121" s="416"/>
      <c r="J121" s="256"/>
      <c r="K121" s="285"/>
      <c r="L121" s="268"/>
      <c r="M121" s="444"/>
      <c r="N121" s="444"/>
    </row>
    <row r="122" spans="2:14" ht="17.25" customHeight="1" thickBot="1" x14ac:dyDescent="0.35">
      <c r="B122" s="251"/>
      <c r="C122" s="518"/>
      <c r="D122" s="230"/>
      <c r="E122" s="417"/>
      <c r="F122" s="236"/>
      <c r="G122" s="109">
        <v>8</v>
      </c>
      <c r="H122" s="109"/>
      <c r="I122" s="417"/>
      <c r="J122" s="257"/>
      <c r="K122" s="286"/>
      <c r="L122" s="268"/>
      <c r="M122" s="444"/>
      <c r="N122" s="444"/>
    </row>
    <row r="123" spans="2:14" ht="49.5" x14ac:dyDescent="0.3">
      <c r="B123" s="249" t="str">
        <f>+LEFT(C123,4)</f>
        <v>15.5</v>
      </c>
      <c r="C123" s="518" t="s">
        <v>260</v>
      </c>
      <c r="D123" s="228" t="s">
        <v>261</v>
      </c>
      <c r="E123" s="333" t="s">
        <v>660</v>
      </c>
      <c r="F123" s="234">
        <v>3</v>
      </c>
      <c r="G123" s="110">
        <v>1</v>
      </c>
      <c r="H123" s="106" t="s">
        <v>461</v>
      </c>
      <c r="I123" s="231" t="s">
        <v>666</v>
      </c>
      <c r="J123" s="255">
        <v>3</v>
      </c>
      <c r="K123" s="284" t="str">
        <f t="shared" si="10"/>
        <v>Mantenimiento del control</v>
      </c>
      <c r="L123" s="268">
        <f t="shared" ref="L123" si="15">+IF(K123="",231,IF(K123="Deficiencia de control mayor (diseño y ejecución)",240,IF(K123="Deficiencia de control (diseño o ejecución)",260,IF(K123="Oportunidad de mejora",280,300))))</f>
        <v>300</v>
      </c>
      <c r="M123" s="444">
        <v>5.6321000000000003</v>
      </c>
      <c r="N123" s="444">
        <f>+L123+M123</f>
        <v>305.63209999999998</v>
      </c>
    </row>
    <row r="124" spans="2:14" ht="16.5" x14ac:dyDescent="0.3">
      <c r="B124" s="250"/>
      <c r="C124" s="518"/>
      <c r="D124" s="229"/>
      <c r="E124" s="416"/>
      <c r="F124" s="235"/>
      <c r="G124" s="105">
        <v>2</v>
      </c>
      <c r="H124" s="105"/>
      <c r="I124" s="232"/>
      <c r="J124" s="256"/>
      <c r="K124" s="285"/>
      <c r="L124" s="268"/>
      <c r="M124" s="444"/>
      <c r="N124" s="444"/>
    </row>
    <row r="125" spans="2:14" ht="16.5" x14ac:dyDescent="0.3">
      <c r="B125" s="250"/>
      <c r="C125" s="518"/>
      <c r="D125" s="229"/>
      <c r="E125" s="416"/>
      <c r="F125" s="235"/>
      <c r="G125" s="105">
        <v>3</v>
      </c>
      <c r="H125" s="105"/>
      <c r="I125" s="232"/>
      <c r="J125" s="256"/>
      <c r="K125" s="285"/>
      <c r="L125" s="268"/>
      <c r="M125" s="444"/>
      <c r="N125" s="444"/>
    </row>
    <row r="126" spans="2:14" ht="16.5" x14ac:dyDescent="0.3">
      <c r="B126" s="250"/>
      <c r="C126" s="518"/>
      <c r="D126" s="229"/>
      <c r="E126" s="416"/>
      <c r="F126" s="235"/>
      <c r="G126" s="105">
        <v>4</v>
      </c>
      <c r="H126" s="105"/>
      <c r="I126" s="232"/>
      <c r="J126" s="256"/>
      <c r="K126" s="285"/>
      <c r="L126" s="268"/>
      <c r="M126" s="444"/>
      <c r="N126" s="444"/>
    </row>
    <row r="127" spans="2:14" ht="16.5" x14ac:dyDescent="0.3">
      <c r="B127" s="250"/>
      <c r="C127" s="518"/>
      <c r="D127" s="229"/>
      <c r="E127" s="416"/>
      <c r="F127" s="235"/>
      <c r="G127" s="105">
        <v>5</v>
      </c>
      <c r="H127" s="105"/>
      <c r="I127" s="232"/>
      <c r="J127" s="256"/>
      <c r="K127" s="285"/>
      <c r="L127" s="268"/>
      <c r="M127" s="444"/>
      <c r="N127" s="444"/>
    </row>
    <row r="128" spans="2:14" ht="12.75" customHeight="1" x14ac:dyDescent="0.3">
      <c r="B128" s="250"/>
      <c r="C128" s="518"/>
      <c r="D128" s="229"/>
      <c r="E128" s="416"/>
      <c r="F128" s="235"/>
      <c r="G128" s="105">
        <v>6</v>
      </c>
      <c r="H128" s="105"/>
      <c r="I128" s="232"/>
      <c r="J128" s="256"/>
      <c r="K128" s="285"/>
      <c r="L128" s="268"/>
      <c r="M128" s="444"/>
      <c r="N128" s="444"/>
    </row>
    <row r="129" spans="2:14" ht="12.75" customHeight="1" x14ac:dyDescent="0.3">
      <c r="B129" s="250"/>
      <c r="C129" s="518"/>
      <c r="D129" s="229"/>
      <c r="E129" s="416"/>
      <c r="F129" s="235"/>
      <c r="G129" s="105">
        <v>7</v>
      </c>
      <c r="H129" s="105"/>
      <c r="I129" s="232"/>
      <c r="J129" s="256"/>
      <c r="K129" s="285"/>
      <c r="L129" s="268"/>
      <c r="M129" s="444"/>
      <c r="N129" s="444"/>
    </row>
    <row r="130" spans="2:14" ht="12.75" customHeight="1" thickBot="1" x14ac:dyDescent="0.35">
      <c r="B130" s="251"/>
      <c r="C130" s="518"/>
      <c r="D130" s="230"/>
      <c r="E130" s="417"/>
      <c r="F130" s="236"/>
      <c r="G130" s="109">
        <v>8</v>
      </c>
      <c r="H130" s="109"/>
      <c r="I130" s="233"/>
      <c r="J130" s="257"/>
      <c r="K130" s="286"/>
      <c r="L130" s="268"/>
      <c r="M130" s="444"/>
      <c r="N130" s="444"/>
    </row>
    <row r="131" spans="2:14" ht="58.5" customHeight="1" x14ac:dyDescent="0.3">
      <c r="B131" s="249" t="str">
        <f>+LEFT(C131,4)</f>
        <v>15.6</v>
      </c>
      <c r="C131" s="518" t="s">
        <v>262</v>
      </c>
      <c r="D131" s="531" t="s">
        <v>261</v>
      </c>
      <c r="E131" s="333" t="s">
        <v>665</v>
      </c>
      <c r="F131" s="234">
        <v>3</v>
      </c>
      <c r="G131" s="110">
        <v>1</v>
      </c>
      <c r="H131" s="106" t="s">
        <v>661</v>
      </c>
      <c r="I131" s="231" t="s">
        <v>664</v>
      </c>
      <c r="J131" s="255">
        <v>3</v>
      </c>
      <c r="K131" s="284" t="str">
        <f t="shared" si="10"/>
        <v>Mantenimiento del control</v>
      </c>
      <c r="L131" s="268">
        <f t="shared" ref="L131" si="16">+IF(K131="",231,IF(K131="Deficiencia de control mayor (diseño y ejecución)",240,IF(K131="Deficiencia de control (diseño o ejecución)",260,IF(K131="Oportunidad de mejora",280,300))))</f>
        <v>300</v>
      </c>
      <c r="M131" s="444">
        <v>5.7896000000000001</v>
      </c>
      <c r="N131" s="444">
        <f>+L131+M131</f>
        <v>305.78960000000001</v>
      </c>
    </row>
    <row r="132" spans="2:14" ht="33" x14ac:dyDescent="0.3">
      <c r="B132" s="250"/>
      <c r="C132" s="518"/>
      <c r="D132" s="532"/>
      <c r="E132" s="416"/>
      <c r="F132" s="235"/>
      <c r="G132" s="105">
        <v>2</v>
      </c>
      <c r="H132" s="149" t="s">
        <v>662</v>
      </c>
      <c r="I132" s="232"/>
      <c r="J132" s="256"/>
      <c r="K132" s="285"/>
      <c r="L132" s="268"/>
      <c r="M132" s="444"/>
      <c r="N132" s="444"/>
    </row>
    <row r="133" spans="2:14" ht="16.5" x14ac:dyDescent="0.3">
      <c r="B133" s="250"/>
      <c r="C133" s="518"/>
      <c r="D133" s="532"/>
      <c r="E133" s="416"/>
      <c r="F133" s="235"/>
      <c r="G133" s="105">
        <v>3</v>
      </c>
      <c r="H133" s="140" t="s">
        <v>663</v>
      </c>
      <c r="I133" s="232"/>
      <c r="J133" s="256"/>
      <c r="K133" s="285"/>
      <c r="L133" s="268"/>
      <c r="M133" s="444"/>
      <c r="N133" s="444"/>
    </row>
    <row r="134" spans="2:14" ht="16.5" x14ac:dyDescent="0.3">
      <c r="B134" s="250"/>
      <c r="C134" s="518"/>
      <c r="D134" s="532"/>
      <c r="E134" s="416"/>
      <c r="F134" s="235"/>
      <c r="G134" s="105">
        <v>4</v>
      </c>
      <c r="H134" s="105"/>
      <c r="I134" s="232"/>
      <c r="J134" s="256"/>
      <c r="K134" s="285"/>
      <c r="L134" s="268"/>
      <c r="M134" s="444"/>
      <c r="N134" s="444"/>
    </row>
    <row r="135" spans="2:14" ht="16.5" x14ac:dyDescent="0.3">
      <c r="B135" s="250"/>
      <c r="C135" s="518"/>
      <c r="D135" s="532"/>
      <c r="E135" s="416"/>
      <c r="F135" s="235"/>
      <c r="G135" s="105">
        <v>5</v>
      </c>
      <c r="H135" s="105"/>
      <c r="I135" s="232"/>
      <c r="J135" s="256"/>
      <c r="K135" s="285"/>
      <c r="L135" s="268"/>
      <c r="M135" s="444"/>
      <c r="N135" s="444"/>
    </row>
    <row r="136" spans="2:14" ht="16.5" x14ac:dyDescent="0.3">
      <c r="B136" s="250"/>
      <c r="C136" s="518"/>
      <c r="D136" s="532"/>
      <c r="E136" s="416"/>
      <c r="F136" s="235"/>
      <c r="G136" s="105">
        <v>6</v>
      </c>
      <c r="H136" s="105"/>
      <c r="I136" s="232"/>
      <c r="J136" s="256"/>
      <c r="K136" s="285"/>
      <c r="L136" s="268"/>
      <c r="M136" s="444"/>
      <c r="N136" s="444"/>
    </row>
    <row r="137" spans="2:14" ht="16.5" x14ac:dyDescent="0.3">
      <c r="B137" s="250"/>
      <c r="C137" s="518"/>
      <c r="D137" s="532"/>
      <c r="E137" s="416"/>
      <c r="F137" s="235"/>
      <c r="G137" s="105">
        <v>7</v>
      </c>
      <c r="H137" s="105"/>
      <c r="I137" s="232"/>
      <c r="J137" s="256"/>
      <c r="K137" s="285"/>
      <c r="L137" s="268"/>
      <c r="M137" s="444"/>
      <c r="N137" s="444"/>
    </row>
    <row r="138" spans="2:14" ht="17.25" thickBot="1" x14ac:dyDescent="0.35">
      <c r="B138" s="251"/>
      <c r="C138" s="518"/>
      <c r="D138" s="533"/>
      <c r="E138" s="417"/>
      <c r="F138" s="236"/>
      <c r="G138" s="109">
        <v>8</v>
      </c>
      <c r="H138" s="109"/>
      <c r="I138" s="233"/>
      <c r="J138" s="257"/>
      <c r="K138" s="286"/>
      <c r="L138" s="268"/>
      <c r="M138" s="444"/>
      <c r="N138" s="444"/>
    </row>
  </sheetData>
  <sheetProtection password="D72A" sheet="1" objects="1" scenarios="1" formatCells="0" formatColumns="0" formatRows="0"/>
  <autoFilter ref="C1:C138" xr:uid="{00000000-0009-0000-0000-000005000000}"/>
  <mergeCells count="199">
    <mergeCell ref="I91:I98"/>
    <mergeCell ref="I99:I106"/>
    <mergeCell ref="I107:I114"/>
    <mergeCell ref="I115:I122"/>
    <mergeCell ref="I123:I130"/>
    <mergeCell ref="I131:I138"/>
    <mergeCell ref="H89:H90"/>
    <mergeCell ref="I19:I26"/>
    <mergeCell ref="I27:I34"/>
    <mergeCell ref="I35:I42"/>
    <mergeCell ref="I43:I50"/>
    <mergeCell ref="I55:I62"/>
    <mergeCell ref="I63:I70"/>
    <mergeCell ref="I71:I78"/>
    <mergeCell ref="I79:I86"/>
    <mergeCell ref="M131:M138"/>
    <mergeCell ref="N15:N18"/>
    <mergeCell ref="N19:N26"/>
    <mergeCell ref="N27:N34"/>
    <mergeCell ref="N35:N42"/>
    <mergeCell ref="N43:N50"/>
    <mergeCell ref="N51:N54"/>
    <mergeCell ref="N55:N62"/>
    <mergeCell ref="N63:N70"/>
    <mergeCell ref="N71:N78"/>
    <mergeCell ref="N79:N86"/>
    <mergeCell ref="N87:N90"/>
    <mergeCell ref="N91:N98"/>
    <mergeCell ref="N99:N106"/>
    <mergeCell ref="N107:N114"/>
    <mergeCell ref="N115:N122"/>
    <mergeCell ref="N123:N130"/>
    <mergeCell ref="N131:N138"/>
    <mergeCell ref="L79:L86"/>
    <mergeCell ref="L87:L90"/>
    <mergeCell ref="L91:L98"/>
    <mergeCell ref="L99:L106"/>
    <mergeCell ref="L107:L114"/>
    <mergeCell ref="L115:L122"/>
    <mergeCell ref="L123:L130"/>
    <mergeCell ref="L131:L138"/>
    <mergeCell ref="M15:M18"/>
    <mergeCell ref="M19:M26"/>
    <mergeCell ref="M27:M34"/>
    <mergeCell ref="M35:M42"/>
    <mergeCell ref="M43:M50"/>
    <mergeCell ref="M51:M54"/>
    <mergeCell ref="M55:M62"/>
    <mergeCell ref="M63:M70"/>
    <mergeCell ref="M71:M78"/>
    <mergeCell ref="M79:M86"/>
    <mergeCell ref="M87:M90"/>
    <mergeCell ref="M91:M98"/>
    <mergeCell ref="M99:M106"/>
    <mergeCell ref="M107:M114"/>
    <mergeCell ref="M115:M122"/>
    <mergeCell ref="M123:M130"/>
    <mergeCell ref="L15:L18"/>
    <mergeCell ref="L19:L26"/>
    <mergeCell ref="L27:L34"/>
    <mergeCell ref="L35:L42"/>
    <mergeCell ref="L43:L50"/>
    <mergeCell ref="L51:L54"/>
    <mergeCell ref="L55:L62"/>
    <mergeCell ref="L63:L70"/>
    <mergeCell ref="L71:L78"/>
    <mergeCell ref="A43:A44"/>
    <mergeCell ref="C87:C90"/>
    <mergeCell ref="E63:E70"/>
    <mergeCell ref="E79:E86"/>
    <mergeCell ref="F63:F70"/>
    <mergeCell ref="F79:F86"/>
    <mergeCell ref="F43:F50"/>
    <mergeCell ref="D43:D50"/>
    <mergeCell ref="D63:D70"/>
    <mergeCell ref="D79:D86"/>
    <mergeCell ref="C79:C86"/>
    <mergeCell ref="F55:F62"/>
    <mergeCell ref="D51:D54"/>
    <mergeCell ref="D87:D90"/>
    <mergeCell ref="C51:C54"/>
    <mergeCell ref="D55:D62"/>
    <mergeCell ref="E51:E54"/>
    <mergeCell ref="E87:E90"/>
    <mergeCell ref="F87:F90"/>
    <mergeCell ref="B79:B86"/>
    <mergeCell ref="B87:B90"/>
    <mergeCell ref="D131:D138"/>
    <mergeCell ref="C91:C98"/>
    <mergeCell ref="E91:E98"/>
    <mergeCell ref="F15:F18"/>
    <mergeCell ref="F19:F26"/>
    <mergeCell ref="F27:F34"/>
    <mergeCell ref="D19:D26"/>
    <mergeCell ref="D27:D34"/>
    <mergeCell ref="D15:D18"/>
    <mergeCell ref="C71:C78"/>
    <mergeCell ref="D71:D78"/>
    <mergeCell ref="E71:E78"/>
    <mergeCell ref="F71:F78"/>
    <mergeCell ref="E55:E62"/>
    <mergeCell ref="C63:C70"/>
    <mergeCell ref="C55:C62"/>
    <mergeCell ref="E15:E18"/>
    <mergeCell ref="C99:C106"/>
    <mergeCell ref="E99:E106"/>
    <mergeCell ref="C131:C138"/>
    <mergeCell ref="F131:F138"/>
    <mergeCell ref="F91:F98"/>
    <mergeCell ref="F99:F106"/>
    <mergeCell ref="E131:E138"/>
    <mergeCell ref="J131:J138"/>
    <mergeCell ref="I17:I18"/>
    <mergeCell ref="I53:I54"/>
    <mergeCell ref="I89:I90"/>
    <mergeCell ref="J15:J18"/>
    <mergeCell ref="J19:J26"/>
    <mergeCell ref="J27:J34"/>
    <mergeCell ref="J43:J50"/>
    <mergeCell ref="J51:J54"/>
    <mergeCell ref="J55:J62"/>
    <mergeCell ref="J63:J70"/>
    <mergeCell ref="J79:J86"/>
    <mergeCell ref="J87:J90"/>
    <mergeCell ref="J91:J98"/>
    <mergeCell ref="J99:J106"/>
    <mergeCell ref="J107:J114"/>
    <mergeCell ref="J115:J122"/>
    <mergeCell ref="J123:J130"/>
    <mergeCell ref="G51:I52"/>
    <mergeCell ref="G15:I16"/>
    <mergeCell ref="G87:I88"/>
    <mergeCell ref="G53:G54"/>
    <mergeCell ref="G89:G90"/>
    <mergeCell ref="J71:J78"/>
    <mergeCell ref="F123:F130"/>
    <mergeCell ref="F115:F122"/>
    <mergeCell ref="D91:D98"/>
    <mergeCell ref="D99:D106"/>
    <mergeCell ref="E123:E130"/>
    <mergeCell ref="F107:F114"/>
    <mergeCell ref="F51:F54"/>
    <mergeCell ref="C43:C50"/>
    <mergeCell ref="E43:E50"/>
    <mergeCell ref="C115:C122"/>
    <mergeCell ref="E115:E122"/>
    <mergeCell ref="C107:C114"/>
    <mergeCell ref="C123:C130"/>
    <mergeCell ref="E107:E114"/>
    <mergeCell ref="D107:D114"/>
    <mergeCell ref="D115:D122"/>
    <mergeCell ref="D123:D130"/>
    <mergeCell ref="K35:K42"/>
    <mergeCell ref="K43:K50"/>
    <mergeCell ref="K51:K54"/>
    <mergeCell ref="K55:K62"/>
    <mergeCell ref="K63:K70"/>
    <mergeCell ref="K15:K18"/>
    <mergeCell ref="C12:K12"/>
    <mergeCell ref="C13:K13"/>
    <mergeCell ref="K19:K26"/>
    <mergeCell ref="K27:K34"/>
    <mergeCell ref="C27:C34"/>
    <mergeCell ref="E27:E34"/>
    <mergeCell ref="G17:G18"/>
    <mergeCell ref="C15:C18"/>
    <mergeCell ref="C19:C26"/>
    <mergeCell ref="E19:E26"/>
    <mergeCell ref="C35:C42"/>
    <mergeCell ref="D35:D42"/>
    <mergeCell ref="E35:E42"/>
    <mergeCell ref="F35:F42"/>
    <mergeCell ref="J35:J42"/>
    <mergeCell ref="H17:H18"/>
    <mergeCell ref="H53:H54"/>
    <mergeCell ref="K107:K114"/>
    <mergeCell ref="K115:K122"/>
    <mergeCell ref="K123:K130"/>
    <mergeCell ref="K131:K138"/>
    <mergeCell ref="K71:K78"/>
    <mergeCell ref="K79:K86"/>
    <mergeCell ref="K87:K90"/>
    <mergeCell ref="K91:K98"/>
    <mergeCell ref="K99:K106"/>
    <mergeCell ref="B91:B98"/>
    <mergeCell ref="B99:B106"/>
    <mergeCell ref="B107:B114"/>
    <mergeCell ref="B115:B122"/>
    <mergeCell ref="B123:B130"/>
    <mergeCell ref="B131:B138"/>
    <mergeCell ref="B15:B18"/>
    <mergeCell ref="B19:B26"/>
    <mergeCell ref="B27:B34"/>
    <mergeCell ref="B35:B42"/>
    <mergeCell ref="B43:B50"/>
    <mergeCell ref="B51:B54"/>
    <mergeCell ref="B55:B62"/>
    <mergeCell ref="B63:B70"/>
    <mergeCell ref="B71:B78"/>
  </mergeCells>
  <dataValidations count="1">
    <dataValidation type="list" allowBlank="1" showInputMessage="1" showErrorMessage="1" sqref="J91:J138 J55:J86 F19:F50 J19:J50 F91:F138 F55:F86" xr:uid="{00000000-0002-0000-0500-000000000000}">
      <formula1>"1,2,3"</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62F13"/>
  </sheetPr>
  <dimension ref="B1:N134"/>
  <sheetViews>
    <sheetView showGridLines="0" topLeftCell="A58" zoomScale="82" zoomScaleNormal="130" workbookViewId="0">
      <selection activeCell="J135" sqref="J135"/>
    </sheetView>
  </sheetViews>
  <sheetFormatPr baseColWidth="10" defaultColWidth="3.140625" defaultRowHeight="22.5" customHeight="1" x14ac:dyDescent="0.3"/>
  <cols>
    <col min="1" max="1" width="2.42578125" style="10" customWidth="1"/>
    <col min="2" max="2" width="0.140625" style="10" customWidth="1"/>
    <col min="3" max="4" width="42.42578125" style="10" customWidth="1"/>
    <col min="5" max="5" width="38" style="10" customWidth="1"/>
    <col min="6" max="6" width="7.42578125" style="10" customWidth="1"/>
    <col min="7" max="7" width="3.42578125" style="10" bestFit="1" customWidth="1"/>
    <col min="8" max="8" width="35.42578125" style="10" customWidth="1"/>
    <col min="9" max="9" width="36.28515625" style="10" customWidth="1"/>
    <col min="10" max="10" width="7.42578125" style="10" customWidth="1"/>
    <col min="11" max="11" width="22.42578125" style="10" customWidth="1"/>
    <col min="12" max="12" width="4" style="68" bestFit="1" customWidth="1"/>
    <col min="13" max="13" width="8.42578125" style="68" bestFit="1" customWidth="1"/>
    <col min="14" max="14" width="9.42578125" style="70" customWidth="1"/>
    <col min="15" max="16363" width="3.140625" style="10" customWidth="1"/>
    <col min="16364" max="16384" width="3.140625" style="10"/>
  </cols>
  <sheetData>
    <row r="1" spans="3:11" ht="9.9499999999999993" customHeight="1" x14ac:dyDescent="0.3"/>
    <row r="2" spans="3:11" ht="9.9499999999999993" customHeight="1" x14ac:dyDescent="0.3"/>
    <row r="3" spans="3:11" ht="9.9499999999999993" customHeight="1" x14ac:dyDescent="0.3"/>
    <row r="4" spans="3:11" ht="9.9499999999999993" customHeight="1" x14ac:dyDescent="0.3"/>
    <row r="5" spans="3:11" ht="9.9499999999999993" customHeight="1" x14ac:dyDescent="0.3"/>
    <row r="6" spans="3:11" ht="9.9499999999999993" customHeight="1" x14ac:dyDescent="0.3"/>
    <row r="7" spans="3:11" ht="9.9499999999999993" customHeight="1" x14ac:dyDescent="0.3"/>
    <row r="8" spans="3:11" ht="9.9499999999999993" customHeight="1" x14ac:dyDescent="0.3"/>
    <row r="9" spans="3:11" ht="9.9499999999999993" customHeight="1" x14ac:dyDescent="0.3"/>
    <row r="10" spans="3:11" ht="31.5" customHeight="1" x14ac:dyDescent="0.3"/>
    <row r="11" spans="3:11" ht="24.75" customHeight="1" x14ac:dyDescent="0.3"/>
    <row r="12" spans="3:11" ht="20.25" customHeight="1" x14ac:dyDescent="0.3"/>
    <row r="13" spans="3:11" ht="9.9499999999999993" customHeight="1" x14ac:dyDescent="0.3"/>
    <row r="14" spans="3:11" ht="20.100000000000001" customHeight="1" x14ac:dyDescent="0.3">
      <c r="C14" s="559" t="s">
        <v>263</v>
      </c>
      <c r="D14" s="559"/>
      <c r="E14" s="559"/>
      <c r="F14" s="559"/>
      <c r="G14" s="559"/>
      <c r="H14" s="559"/>
      <c r="I14" s="559"/>
      <c r="J14" s="559"/>
      <c r="K14" s="559"/>
    </row>
    <row r="15" spans="3:11" ht="33.6" customHeight="1" x14ac:dyDescent="0.3">
      <c r="C15" s="332" t="s">
        <v>264</v>
      </c>
      <c r="D15" s="332"/>
      <c r="E15" s="332"/>
      <c r="F15" s="332"/>
      <c r="G15" s="332"/>
      <c r="H15" s="332"/>
      <c r="I15" s="332"/>
      <c r="J15" s="332"/>
      <c r="K15" s="332"/>
    </row>
    <row r="16" spans="3:11" ht="9.9499999999999993" customHeight="1" x14ac:dyDescent="0.3">
      <c r="C16" s="11"/>
      <c r="D16" s="11"/>
      <c r="F16" s="12"/>
    </row>
    <row r="17" spans="2:14" ht="36.75" customHeight="1" x14ac:dyDescent="0.3">
      <c r="B17" s="551" t="s">
        <v>111</v>
      </c>
      <c r="C17" s="550" t="s">
        <v>265</v>
      </c>
      <c r="D17" s="560" t="s">
        <v>8</v>
      </c>
      <c r="E17" s="566" t="s">
        <v>113</v>
      </c>
      <c r="F17" s="565" t="s">
        <v>175</v>
      </c>
      <c r="G17" s="564" t="s">
        <v>115</v>
      </c>
      <c r="H17" s="564"/>
      <c r="I17" s="564"/>
      <c r="J17" s="565" t="s">
        <v>176</v>
      </c>
      <c r="K17" s="554" t="s">
        <v>135</v>
      </c>
      <c r="L17" s="443"/>
      <c r="M17" s="443"/>
      <c r="N17" s="581"/>
    </row>
    <row r="18" spans="2:14" ht="29.25" customHeight="1" x14ac:dyDescent="0.3">
      <c r="B18" s="551"/>
      <c r="C18" s="550"/>
      <c r="D18" s="560"/>
      <c r="E18" s="567"/>
      <c r="F18" s="565"/>
      <c r="G18" s="564" t="s">
        <v>13</v>
      </c>
      <c r="H18" s="560" t="s">
        <v>15</v>
      </c>
      <c r="I18" s="560" t="s">
        <v>15</v>
      </c>
      <c r="J18" s="565"/>
      <c r="K18" s="554"/>
      <c r="L18" s="443"/>
      <c r="M18" s="443"/>
      <c r="N18" s="581"/>
    </row>
    <row r="19" spans="2:14" ht="92.25" customHeight="1" thickBot="1" x14ac:dyDescent="0.35">
      <c r="B19" s="551"/>
      <c r="C19" s="550"/>
      <c r="D19" s="560"/>
      <c r="E19" s="568"/>
      <c r="F19" s="565"/>
      <c r="G19" s="564"/>
      <c r="H19" s="564"/>
      <c r="I19" s="564"/>
      <c r="J19" s="565"/>
      <c r="K19" s="555"/>
      <c r="L19" s="443"/>
      <c r="M19" s="443"/>
      <c r="N19" s="581"/>
    </row>
    <row r="20" spans="2:14" ht="53.25" customHeight="1" x14ac:dyDescent="0.3">
      <c r="B20" s="249" t="str">
        <f>+LEFT(C20,4)</f>
        <v>16.1</v>
      </c>
      <c r="C20" s="473" t="s">
        <v>266</v>
      </c>
      <c r="D20" s="228" t="s">
        <v>267</v>
      </c>
      <c r="E20" s="435" t="s">
        <v>667</v>
      </c>
      <c r="F20" s="561">
        <v>3</v>
      </c>
      <c r="G20" s="176">
        <v>1</v>
      </c>
      <c r="H20" s="177" t="s">
        <v>668</v>
      </c>
      <c r="I20" s="449" t="s">
        <v>670</v>
      </c>
      <c r="J20" s="255">
        <v>3</v>
      </c>
      <c r="K20" s="284" t="str">
        <f t="shared" ref="K20" si="0">+IF(OR(ISBLANK(F20),ISBLANK(J20)),"",IF(OR(AND(F20=1,J20=1),AND(F20=1,J20=2),AND(F20=1,J20=3)),"Deficiencia de control mayor (diseño y ejecución)",IF(OR(AND(F20=2,J20=2),AND(F20=3,J20=1),AND(F20=3,J20=2),AND(F20=2,J20=1)),"Deficiencia de control (diseño o ejecución)",IF(AND(F20=2,J20=3),"Oportunidad de mejora","Mantenimiento del control"))))</f>
        <v>Mantenimiento del control</v>
      </c>
      <c r="L20" s="268">
        <f>+IF(K20="",312,IF(K20="Deficiencia de control mayor (diseño y ejecución)",320,IF(K20="Deficiencia de control (diseño o ejecución)",340,IF(K20="Oportunidad de mejora",360,380))))</f>
        <v>380</v>
      </c>
      <c r="M20" s="444">
        <v>5.8745000000000003</v>
      </c>
      <c r="N20" s="582">
        <f>+L20+M20</f>
        <v>385.87450000000001</v>
      </c>
    </row>
    <row r="21" spans="2:14" ht="16.5" x14ac:dyDescent="0.3">
      <c r="B21" s="250"/>
      <c r="C21" s="226"/>
      <c r="D21" s="229"/>
      <c r="E21" s="436"/>
      <c r="F21" s="562"/>
      <c r="G21" s="178">
        <v>2</v>
      </c>
      <c r="H21" s="172" t="s">
        <v>669</v>
      </c>
      <c r="I21" s="450"/>
      <c r="J21" s="256"/>
      <c r="K21" s="285"/>
      <c r="L21" s="268"/>
      <c r="M21" s="444"/>
      <c r="N21" s="582"/>
    </row>
    <row r="22" spans="2:14" ht="16.5" x14ac:dyDescent="0.3">
      <c r="B22" s="250"/>
      <c r="C22" s="226"/>
      <c r="D22" s="229"/>
      <c r="E22" s="436"/>
      <c r="F22" s="562"/>
      <c r="G22" s="178">
        <v>3</v>
      </c>
      <c r="H22" s="178"/>
      <c r="I22" s="450"/>
      <c r="J22" s="256"/>
      <c r="K22" s="285"/>
      <c r="L22" s="268"/>
      <c r="M22" s="444"/>
      <c r="N22" s="582"/>
    </row>
    <row r="23" spans="2:14" ht="16.5" x14ac:dyDescent="0.3">
      <c r="B23" s="250"/>
      <c r="C23" s="226"/>
      <c r="D23" s="229"/>
      <c r="E23" s="436"/>
      <c r="F23" s="562"/>
      <c r="G23" s="178">
        <v>4</v>
      </c>
      <c r="H23" s="178"/>
      <c r="I23" s="450"/>
      <c r="J23" s="256"/>
      <c r="K23" s="285"/>
      <c r="L23" s="268"/>
      <c r="M23" s="444"/>
      <c r="N23" s="582"/>
    </row>
    <row r="24" spans="2:14" ht="16.5" x14ac:dyDescent="0.3">
      <c r="B24" s="250"/>
      <c r="C24" s="226"/>
      <c r="D24" s="229"/>
      <c r="E24" s="436"/>
      <c r="F24" s="562"/>
      <c r="G24" s="178">
        <v>5</v>
      </c>
      <c r="H24" s="178"/>
      <c r="I24" s="450"/>
      <c r="J24" s="256"/>
      <c r="K24" s="285"/>
      <c r="L24" s="268"/>
      <c r="M24" s="444"/>
      <c r="N24" s="582"/>
    </row>
    <row r="25" spans="2:14" ht="16.5" x14ac:dyDescent="0.3">
      <c r="B25" s="250"/>
      <c r="C25" s="226"/>
      <c r="D25" s="229"/>
      <c r="E25" s="436"/>
      <c r="F25" s="562"/>
      <c r="G25" s="178">
        <v>6</v>
      </c>
      <c r="H25" s="178"/>
      <c r="I25" s="450"/>
      <c r="J25" s="256"/>
      <c r="K25" s="285"/>
      <c r="L25" s="268"/>
      <c r="M25" s="444"/>
      <c r="N25" s="582"/>
    </row>
    <row r="26" spans="2:14" ht="16.5" x14ac:dyDescent="0.3">
      <c r="B26" s="250"/>
      <c r="C26" s="226"/>
      <c r="D26" s="229"/>
      <c r="E26" s="436"/>
      <c r="F26" s="562"/>
      <c r="G26" s="178">
        <v>7</v>
      </c>
      <c r="H26" s="178"/>
      <c r="I26" s="450"/>
      <c r="J26" s="256"/>
      <c r="K26" s="285"/>
      <c r="L26" s="268"/>
      <c r="M26" s="444"/>
      <c r="N26" s="582"/>
    </row>
    <row r="27" spans="2:14" ht="17.25" thickBot="1" x14ac:dyDescent="0.35">
      <c r="B27" s="251"/>
      <c r="C27" s="227"/>
      <c r="D27" s="230"/>
      <c r="E27" s="437"/>
      <c r="F27" s="563"/>
      <c r="G27" s="179">
        <v>8</v>
      </c>
      <c r="H27" s="179"/>
      <c r="I27" s="451"/>
      <c r="J27" s="257"/>
      <c r="K27" s="286"/>
      <c r="L27" s="268"/>
      <c r="M27" s="444"/>
      <c r="N27" s="582"/>
    </row>
    <row r="28" spans="2:14" ht="53.25" customHeight="1" x14ac:dyDescent="0.3">
      <c r="B28" s="249" t="str">
        <f>+LEFT(C28,4)</f>
        <v>16.2</v>
      </c>
      <c r="C28" s="225" t="s">
        <v>268</v>
      </c>
      <c r="D28" s="228" t="s">
        <v>267</v>
      </c>
      <c r="E28" s="333" t="s">
        <v>671</v>
      </c>
      <c r="F28" s="234">
        <v>3</v>
      </c>
      <c r="G28" s="110">
        <v>1</v>
      </c>
      <c r="H28" s="106" t="s">
        <v>672</v>
      </c>
      <c r="I28" s="231" t="s">
        <v>673</v>
      </c>
      <c r="J28" s="255">
        <v>3</v>
      </c>
      <c r="K28" s="284" t="str">
        <f t="shared" ref="K28:K52" si="1">+IF(OR(ISBLANK(F28),ISBLANK(J28)),"",IF(OR(AND(F28=1,J28=1),AND(F28=1,J28=2),AND(F28=1,J28=3)),"Deficiencia de control mayor (diseño y ejecución)",IF(OR(AND(F28=2,J28=2),AND(F28=3,J28=1),AND(F28=3,J28=2),AND(F28=2,J28=1)),"Deficiencia de control (diseño o ejecución)",IF(AND(F28=2,J28=3),"Oportunidad de mejora","Mantenimiento del control"))))</f>
        <v>Mantenimiento del control</v>
      </c>
      <c r="L28" s="268">
        <f t="shared" ref="L28" si="2">+IF(K28="",312,IF(K28="Deficiencia de control mayor (diseño y ejecución)",320,IF(K28="Deficiencia de control (diseño o ejecución)",340,IF(K28="Oportunidad de mejora",360,380))))</f>
        <v>380</v>
      </c>
      <c r="M28" s="444">
        <v>5.9653999999999998</v>
      </c>
      <c r="N28" s="582">
        <f>+L28+M28</f>
        <v>385.96539999999999</v>
      </c>
    </row>
    <row r="29" spans="2:14" ht="66" x14ac:dyDescent="0.3">
      <c r="B29" s="250"/>
      <c r="C29" s="226"/>
      <c r="D29" s="229"/>
      <c r="E29" s="416"/>
      <c r="F29" s="235"/>
      <c r="G29" s="105">
        <v>2</v>
      </c>
      <c r="H29" s="149" t="s">
        <v>674</v>
      </c>
      <c r="I29" s="232"/>
      <c r="J29" s="256"/>
      <c r="K29" s="285"/>
      <c r="L29" s="268"/>
      <c r="M29" s="444"/>
      <c r="N29" s="582"/>
    </row>
    <row r="30" spans="2:14" ht="16.5" x14ac:dyDescent="0.3">
      <c r="B30" s="250"/>
      <c r="C30" s="226"/>
      <c r="D30" s="229"/>
      <c r="E30" s="416"/>
      <c r="F30" s="235"/>
      <c r="G30" s="105">
        <v>3</v>
      </c>
      <c r="H30" s="105"/>
      <c r="I30" s="232"/>
      <c r="J30" s="256"/>
      <c r="K30" s="285"/>
      <c r="L30" s="268"/>
      <c r="M30" s="444"/>
      <c r="N30" s="582"/>
    </row>
    <row r="31" spans="2:14" ht="16.5" x14ac:dyDescent="0.3">
      <c r="B31" s="250"/>
      <c r="C31" s="226"/>
      <c r="D31" s="229"/>
      <c r="E31" s="416"/>
      <c r="F31" s="235"/>
      <c r="G31" s="105">
        <v>4</v>
      </c>
      <c r="H31" s="105"/>
      <c r="I31" s="232"/>
      <c r="J31" s="256"/>
      <c r="K31" s="285"/>
      <c r="L31" s="268"/>
      <c r="M31" s="444"/>
      <c r="N31" s="582"/>
    </row>
    <row r="32" spans="2:14" ht="16.5" x14ac:dyDescent="0.3">
      <c r="B32" s="250"/>
      <c r="C32" s="226"/>
      <c r="D32" s="229"/>
      <c r="E32" s="416"/>
      <c r="F32" s="235"/>
      <c r="G32" s="105">
        <v>5</v>
      </c>
      <c r="H32" s="105"/>
      <c r="I32" s="232"/>
      <c r="J32" s="256"/>
      <c r="K32" s="285"/>
      <c r="L32" s="268"/>
      <c r="M32" s="444"/>
      <c r="N32" s="582"/>
    </row>
    <row r="33" spans="2:14" ht="16.5" x14ac:dyDescent="0.3">
      <c r="B33" s="250"/>
      <c r="C33" s="226"/>
      <c r="D33" s="229"/>
      <c r="E33" s="416"/>
      <c r="F33" s="235"/>
      <c r="G33" s="105">
        <v>6</v>
      </c>
      <c r="H33" s="105"/>
      <c r="I33" s="232"/>
      <c r="J33" s="256"/>
      <c r="K33" s="285"/>
      <c r="L33" s="268"/>
      <c r="M33" s="444"/>
      <c r="N33" s="582"/>
    </row>
    <row r="34" spans="2:14" ht="16.5" x14ac:dyDescent="0.3">
      <c r="B34" s="250"/>
      <c r="C34" s="226"/>
      <c r="D34" s="229"/>
      <c r="E34" s="416"/>
      <c r="F34" s="235"/>
      <c r="G34" s="105">
        <v>7</v>
      </c>
      <c r="H34" s="105"/>
      <c r="I34" s="232"/>
      <c r="J34" s="256"/>
      <c r="K34" s="285"/>
      <c r="L34" s="268"/>
      <c r="M34" s="444"/>
      <c r="N34" s="582"/>
    </row>
    <row r="35" spans="2:14" ht="17.25" thickBot="1" x14ac:dyDescent="0.35">
      <c r="B35" s="251"/>
      <c r="C35" s="227"/>
      <c r="D35" s="230"/>
      <c r="E35" s="417"/>
      <c r="F35" s="236"/>
      <c r="G35" s="109">
        <v>8</v>
      </c>
      <c r="H35" s="109"/>
      <c r="I35" s="233"/>
      <c r="J35" s="257"/>
      <c r="K35" s="286"/>
      <c r="L35" s="268"/>
      <c r="M35" s="444"/>
      <c r="N35" s="582"/>
    </row>
    <row r="36" spans="2:14" ht="65.25" customHeight="1" x14ac:dyDescent="0.3">
      <c r="B36" s="249" t="str">
        <f>+LEFT(C36,4)</f>
        <v>16.3</v>
      </c>
      <c r="C36" s="225" t="s">
        <v>269</v>
      </c>
      <c r="D36" s="228" t="s">
        <v>270</v>
      </c>
      <c r="E36" s="571" t="s">
        <v>675</v>
      </c>
      <c r="F36" s="234">
        <v>3</v>
      </c>
      <c r="G36" s="110">
        <v>1</v>
      </c>
      <c r="H36" s="106" t="s">
        <v>672</v>
      </c>
      <c r="I36" s="237" t="s">
        <v>449</v>
      </c>
      <c r="J36" s="255">
        <v>3</v>
      </c>
      <c r="K36" s="284" t="str">
        <f t="shared" si="1"/>
        <v>Mantenimiento del control</v>
      </c>
      <c r="L36" s="268">
        <f t="shared" ref="L36" si="3">+IF(K36="",312,IF(K36="Deficiencia de control mayor (diseño y ejecución)",320,IF(K36="Deficiencia de control (diseño o ejecución)",340,IF(K36="Oportunidad de mejora",360,380))))</f>
        <v>380</v>
      </c>
      <c r="M36" s="444">
        <v>6.0122999999999998</v>
      </c>
      <c r="N36" s="582">
        <f>+L36+M36</f>
        <v>386.01229999999998</v>
      </c>
    </row>
    <row r="37" spans="2:14" ht="22.5" customHeight="1" x14ac:dyDescent="0.3">
      <c r="B37" s="250"/>
      <c r="C37" s="226"/>
      <c r="D37" s="229"/>
      <c r="E37" s="572"/>
      <c r="F37" s="235"/>
      <c r="G37" s="105">
        <v>2</v>
      </c>
      <c r="H37" s="105"/>
      <c r="I37" s="238"/>
      <c r="J37" s="256"/>
      <c r="K37" s="285"/>
      <c r="L37" s="268"/>
      <c r="M37" s="444"/>
      <c r="N37" s="582"/>
    </row>
    <row r="38" spans="2:14" ht="22.5" customHeight="1" x14ac:dyDescent="0.3">
      <c r="B38" s="250"/>
      <c r="C38" s="226"/>
      <c r="D38" s="229"/>
      <c r="E38" s="572"/>
      <c r="F38" s="235"/>
      <c r="G38" s="105">
        <v>3</v>
      </c>
      <c r="H38" s="105"/>
      <c r="I38" s="238"/>
      <c r="J38" s="256"/>
      <c r="K38" s="285"/>
      <c r="L38" s="268"/>
      <c r="M38" s="444"/>
      <c r="N38" s="582"/>
    </row>
    <row r="39" spans="2:14" ht="22.5" customHeight="1" x14ac:dyDescent="0.3">
      <c r="B39" s="250"/>
      <c r="C39" s="226"/>
      <c r="D39" s="229"/>
      <c r="E39" s="572"/>
      <c r="F39" s="235"/>
      <c r="G39" s="105">
        <v>4</v>
      </c>
      <c r="H39" s="105"/>
      <c r="I39" s="238"/>
      <c r="J39" s="256"/>
      <c r="K39" s="285"/>
      <c r="L39" s="268"/>
      <c r="M39" s="444"/>
      <c r="N39" s="582"/>
    </row>
    <row r="40" spans="2:14" ht="22.5" customHeight="1" x14ac:dyDescent="0.3">
      <c r="B40" s="250"/>
      <c r="C40" s="226"/>
      <c r="D40" s="229"/>
      <c r="E40" s="572"/>
      <c r="F40" s="235"/>
      <c r="G40" s="105">
        <v>5</v>
      </c>
      <c r="H40" s="105"/>
      <c r="I40" s="238"/>
      <c r="J40" s="256"/>
      <c r="K40" s="285"/>
      <c r="L40" s="268"/>
      <c r="M40" s="444"/>
      <c r="N40" s="582"/>
    </row>
    <row r="41" spans="2:14" ht="22.5" customHeight="1" x14ac:dyDescent="0.3">
      <c r="B41" s="250"/>
      <c r="C41" s="226"/>
      <c r="D41" s="229"/>
      <c r="E41" s="572"/>
      <c r="F41" s="235"/>
      <c r="G41" s="105">
        <v>6</v>
      </c>
      <c r="H41" s="105"/>
      <c r="I41" s="238"/>
      <c r="J41" s="256"/>
      <c r="K41" s="285"/>
      <c r="L41" s="268"/>
      <c r="M41" s="444"/>
      <c r="N41" s="582"/>
    </row>
    <row r="42" spans="2:14" ht="22.5" customHeight="1" x14ac:dyDescent="0.3">
      <c r="B42" s="250"/>
      <c r="C42" s="226"/>
      <c r="D42" s="229"/>
      <c r="E42" s="572"/>
      <c r="F42" s="235"/>
      <c r="G42" s="105">
        <v>7</v>
      </c>
      <c r="H42" s="105"/>
      <c r="I42" s="238"/>
      <c r="J42" s="256"/>
      <c r="K42" s="285"/>
      <c r="L42" s="268"/>
      <c r="M42" s="444"/>
      <c r="N42" s="582"/>
    </row>
    <row r="43" spans="2:14" ht="22.5" customHeight="1" thickBot="1" x14ac:dyDescent="0.35">
      <c r="B43" s="251"/>
      <c r="C43" s="227"/>
      <c r="D43" s="230"/>
      <c r="E43" s="573"/>
      <c r="F43" s="236"/>
      <c r="G43" s="109">
        <v>8</v>
      </c>
      <c r="H43" s="109"/>
      <c r="I43" s="239"/>
      <c r="J43" s="257"/>
      <c r="K43" s="286"/>
      <c r="L43" s="268"/>
      <c r="M43" s="444"/>
      <c r="N43" s="582"/>
    </row>
    <row r="44" spans="2:14" ht="33" customHeight="1" x14ac:dyDescent="0.3">
      <c r="B44" s="249" t="str">
        <f>+LEFT(C44,4)</f>
        <v>16.4</v>
      </c>
      <c r="C44" s="225" t="s">
        <v>271</v>
      </c>
      <c r="D44" s="228" t="s">
        <v>272</v>
      </c>
      <c r="E44" s="333" t="s">
        <v>447</v>
      </c>
      <c r="F44" s="234">
        <v>3</v>
      </c>
      <c r="G44" s="110">
        <v>1</v>
      </c>
      <c r="H44" s="152" t="s">
        <v>448</v>
      </c>
      <c r="I44" s="231" t="s">
        <v>676</v>
      </c>
      <c r="J44" s="255">
        <v>3</v>
      </c>
      <c r="K44" s="284" t="str">
        <f t="shared" si="1"/>
        <v>Mantenimiento del control</v>
      </c>
      <c r="L44" s="268">
        <f t="shared" ref="L44" si="4">+IF(K44="",312,IF(K44="Deficiencia de control mayor (diseño y ejecución)",320,IF(K44="Deficiencia de control (diseño o ejecución)",340,IF(K44="Oportunidad de mejora",360,380))))</f>
        <v>380</v>
      </c>
      <c r="M44" s="444">
        <v>6.1235999999999997</v>
      </c>
      <c r="N44" s="582">
        <f>+L44+M44</f>
        <v>386.12360000000001</v>
      </c>
    </row>
    <row r="45" spans="2:14" ht="22.5" customHeight="1" x14ac:dyDescent="0.3">
      <c r="B45" s="250"/>
      <c r="C45" s="226"/>
      <c r="D45" s="229"/>
      <c r="E45" s="416"/>
      <c r="F45" s="235"/>
      <c r="G45" s="105">
        <v>2</v>
      </c>
      <c r="H45" s="105"/>
      <c r="I45" s="232"/>
      <c r="J45" s="256"/>
      <c r="K45" s="285"/>
      <c r="L45" s="268"/>
      <c r="M45" s="444"/>
      <c r="N45" s="582"/>
    </row>
    <row r="46" spans="2:14" ht="22.5" customHeight="1" x14ac:dyDescent="0.3">
      <c r="B46" s="250"/>
      <c r="C46" s="226"/>
      <c r="D46" s="229"/>
      <c r="E46" s="416"/>
      <c r="F46" s="235"/>
      <c r="G46" s="105">
        <v>3</v>
      </c>
      <c r="H46" s="105"/>
      <c r="I46" s="232"/>
      <c r="J46" s="256"/>
      <c r="K46" s="285"/>
      <c r="L46" s="268"/>
      <c r="M46" s="444"/>
      <c r="N46" s="582"/>
    </row>
    <row r="47" spans="2:14" ht="22.5" customHeight="1" x14ac:dyDescent="0.3">
      <c r="B47" s="250"/>
      <c r="C47" s="226"/>
      <c r="D47" s="229"/>
      <c r="E47" s="416"/>
      <c r="F47" s="235"/>
      <c r="G47" s="105">
        <v>4</v>
      </c>
      <c r="H47" s="105"/>
      <c r="I47" s="232"/>
      <c r="J47" s="256"/>
      <c r="K47" s="285"/>
      <c r="L47" s="268"/>
      <c r="M47" s="444"/>
      <c r="N47" s="582"/>
    </row>
    <row r="48" spans="2:14" ht="22.5" customHeight="1" x14ac:dyDescent="0.3">
      <c r="B48" s="250"/>
      <c r="C48" s="226"/>
      <c r="D48" s="229"/>
      <c r="E48" s="416"/>
      <c r="F48" s="235"/>
      <c r="G48" s="105">
        <v>5</v>
      </c>
      <c r="H48" s="105"/>
      <c r="I48" s="232"/>
      <c r="J48" s="256"/>
      <c r="K48" s="285"/>
      <c r="L48" s="268"/>
      <c r="M48" s="444"/>
      <c r="N48" s="582"/>
    </row>
    <row r="49" spans="2:14" ht="22.5" customHeight="1" x14ac:dyDescent="0.3">
      <c r="B49" s="250"/>
      <c r="C49" s="226"/>
      <c r="D49" s="229"/>
      <c r="E49" s="416"/>
      <c r="F49" s="235"/>
      <c r="G49" s="105">
        <v>6</v>
      </c>
      <c r="H49" s="105"/>
      <c r="I49" s="232"/>
      <c r="J49" s="256"/>
      <c r="K49" s="285"/>
      <c r="L49" s="268"/>
      <c r="M49" s="444"/>
      <c r="N49" s="582"/>
    </row>
    <row r="50" spans="2:14" ht="22.5" customHeight="1" x14ac:dyDescent="0.3">
      <c r="B50" s="250"/>
      <c r="C50" s="226"/>
      <c r="D50" s="229"/>
      <c r="E50" s="416"/>
      <c r="F50" s="235"/>
      <c r="G50" s="105">
        <v>7</v>
      </c>
      <c r="H50" s="105"/>
      <c r="I50" s="232"/>
      <c r="J50" s="256"/>
      <c r="K50" s="285"/>
      <c r="L50" s="268"/>
      <c r="M50" s="444"/>
      <c r="N50" s="582"/>
    </row>
    <row r="51" spans="2:14" ht="22.5" customHeight="1" thickBot="1" x14ac:dyDescent="0.35">
      <c r="B51" s="251"/>
      <c r="C51" s="227"/>
      <c r="D51" s="230"/>
      <c r="E51" s="417"/>
      <c r="F51" s="236"/>
      <c r="G51" s="109">
        <v>8</v>
      </c>
      <c r="H51" s="109"/>
      <c r="I51" s="233"/>
      <c r="J51" s="257"/>
      <c r="K51" s="286"/>
      <c r="L51" s="268"/>
      <c r="M51" s="444"/>
      <c r="N51" s="582"/>
    </row>
    <row r="52" spans="2:14" ht="49.5" customHeight="1" x14ac:dyDescent="0.3">
      <c r="B52" s="249" t="str">
        <f>+LEFT(C52,4)</f>
        <v>16.5</v>
      </c>
      <c r="C52" s="225" t="s">
        <v>273</v>
      </c>
      <c r="D52" s="228" t="s">
        <v>203</v>
      </c>
      <c r="E52" s="231" t="s">
        <v>677</v>
      </c>
      <c r="F52" s="234">
        <v>3</v>
      </c>
      <c r="G52" s="110">
        <v>1</v>
      </c>
      <c r="H52" s="106" t="s">
        <v>678</v>
      </c>
      <c r="I52" s="231" t="s">
        <v>680</v>
      </c>
      <c r="J52" s="255">
        <v>3</v>
      </c>
      <c r="K52" s="284" t="str">
        <f t="shared" si="1"/>
        <v>Mantenimiento del control</v>
      </c>
      <c r="L52" s="268">
        <f t="shared" ref="L52" si="5">+IF(K52="",312,IF(K52="Deficiencia de control mayor (diseño y ejecución)",320,IF(K52="Deficiencia de control (diseño o ejecución)",340,IF(K52="Oportunidad de mejora",360,380))))</f>
        <v>380</v>
      </c>
      <c r="M52" s="444">
        <v>6.2135999999999996</v>
      </c>
      <c r="N52" s="582">
        <f>+L52+M52</f>
        <v>386.21359999999999</v>
      </c>
    </row>
    <row r="53" spans="2:14" ht="33" x14ac:dyDescent="0.3">
      <c r="B53" s="250"/>
      <c r="C53" s="226"/>
      <c r="D53" s="229"/>
      <c r="E53" s="232"/>
      <c r="F53" s="235"/>
      <c r="G53" s="105">
        <v>2</v>
      </c>
      <c r="H53" s="149" t="s">
        <v>679</v>
      </c>
      <c r="I53" s="232"/>
      <c r="J53" s="256"/>
      <c r="K53" s="285"/>
      <c r="L53" s="268"/>
      <c r="M53" s="444"/>
      <c r="N53" s="582"/>
    </row>
    <row r="54" spans="2:14" ht="16.5" x14ac:dyDescent="0.3">
      <c r="B54" s="250"/>
      <c r="C54" s="226"/>
      <c r="D54" s="229"/>
      <c r="E54" s="232"/>
      <c r="F54" s="235"/>
      <c r="G54" s="105">
        <v>3</v>
      </c>
      <c r="H54" s="105"/>
      <c r="I54" s="232"/>
      <c r="J54" s="256"/>
      <c r="K54" s="285"/>
      <c r="L54" s="268"/>
      <c r="M54" s="444"/>
      <c r="N54" s="582"/>
    </row>
    <row r="55" spans="2:14" ht="16.5" x14ac:dyDescent="0.3">
      <c r="B55" s="250"/>
      <c r="C55" s="226"/>
      <c r="D55" s="229"/>
      <c r="E55" s="232"/>
      <c r="F55" s="235"/>
      <c r="G55" s="105">
        <v>4</v>
      </c>
      <c r="H55" s="105"/>
      <c r="I55" s="232"/>
      <c r="J55" s="256"/>
      <c r="K55" s="285"/>
      <c r="L55" s="268"/>
      <c r="M55" s="444"/>
      <c r="N55" s="582"/>
    </row>
    <row r="56" spans="2:14" ht="16.5" x14ac:dyDescent="0.3">
      <c r="B56" s="250"/>
      <c r="C56" s="226"/>
      <c r="D56" s="229"/>
      <c r="E56" s="232"/>
      <c r="F56" s="235"/>
      <c r="G56" s="105">
        <v>5</v>
      </c>
      <c r="H56" s="105"/>
      <c r="I56" s="232"/>
      <c r="J56" s="256"/>
      <c r="K56" s="285"/>
      <c r="L56" s="268"/>
      <c r="M56" s="444"/>
      <c r="N56" s="582"/>
    </row>
    <row r="57" spans="2:14" ht="16.5" x14ac:dyDescent="0.3">
      <c r="B57" s="250"/>
      <c r="C57" s="226"/>
      <c r="D57" s="229"/>
      <c r="E57" s="232"/>
      <c r="F57" s="235"/>
      <c r="G57" s="105">
        <v>6</v>
      </c>
      <c r="H57" s="105"/>
      <c r="I57" s="232"/>
      <c r="J57" s="256"/>
      <c r="K57" s="285"/>
      <c r="L57" s="268"/>
      <c r="M57" s="444"/>
      <c r="N57" s="582"/>
    </row>
    <row r="58" spans="2:14" ht="16.5" x14ac:dyDescent="0.3">
      <c r="B58" s="250"/>
      <c r="C58" s="226"/>
      <c r="D58" s="229"/>
      <c r="E58" s="232"/>
      <c r="F58" s="235"/>
      <c r="G58" s="105">
        <v>7</v>
      </c>
      <c r="H58" s="105"/>
      <c r="I58" s="232"/>
      <c r="J58" s="256"/>
      <c r="K58" s="285"/>
      <c r="L58" s="268"/>
      <c r="M58" s="444"/>
      <c r="N58" s="582"/>
    </row>
    <row r="59" spans="2:14" ht="17.25" thickBot="1" x14ac:dyDescent="0.35">
      <c r="B59" s="251"/>
      <c r="C59" s="227"/>
      <c r="D59" s="230"/>
      <c r="E59" s="233"/>
      <c r="F59" s="236"/>
      <c r="G59" s="109">
        <v>8</v>
      </c>
      <c r="H59" s="109"/>
      <c r="I59" s="233"/>
      <c r="J59" s="257"/>
      <c r="K59" s="286"/>
      <c r="L59" s="268"/>
      <c r="M59" s="444"/>
      <c r="N59" s="582"/>
    </row>
    <row r="60" spans="2:14" ht="22.5" customHeight="1" x14ac:dyDescent="0.3">
      <c r="B60" s="550"/>
      <c r="C60" s="550" t="s">
        <v>274</v>
      </c>
      <c r="D60" s="560" t="s">
        <v>8</v>
      </c>
      <c r="E60" s="578" t="s">
        <v>113</v>
      </c>
      <c r="F60" s="577" t="s">
        <v>175</v>
      </c>
      <c r="G60" s="570" t="s">
        <v>115</v>
      </c>
      <c r="H60" s="570"/>
      <c r="I60" s="570"/>
      <c r="J60" s="577" t="s">
        <v>176</v>
      </c>
      <c r="K60" s="552" t="s">
        <v>135</v>
      </c>
      <c r="L60" s="442"/>
      <c r="M60" s="442"/>
      <c r="N60" s="583"/>
    </row>
    <row r="61" spans="2:14" ht="22.5" customHeight="1" x14ac:dyDescent="0.3">
      <c r="B61" s="550"/>
      <c r="C61" s="550"/>
      <c r="D61" s="560"/>
      <c r="E61" s="579"/>
      <c r="F61" s="577"/>
      <c r="G61" s="570" t="s">
        <v>13</v>
      </c>
      <c r="H61" s="569" t="s">
        <v>15</v>
      </c>
      <c r="I61" s="569" t="s">
        <v>15</v>
      </c>
      <c r="J61" s="577"/>
      <c r="K61" s="552"/>
      <c r="L61" s="442"/>
      <c r="M61" s="442"/>
      <c r="N61" s="583"/>
    </row>
    <row r="62" spans="2:14" ht="77.25" customHeight="1" thickBot="1" x14ac:dyDescent="0.35">
      <c r="B62" s="550"/>
      <c r="C62" s="550"/>
      <c r="D62" s="560"/>
      <c r="E62" s="580"/>
      <c r="F62" s="577"/>
      <c r="G62" s="570"/>
      <c r="H62" s="570"/>
      <c r="I62" s="570"/>
      <c r="J62" s="577"/>
      <c r="K62" s="553"/>
      <c r="L62" s="442"/>
      <c r="M62" s="442"/>
      <c r="N62" s="583"/>
    </row>
    <row r="63" spans="2:14" ht="33" x14ac:dyDescent="0.3">
      <c r="B63" s="249" t="str">
        <f>+LEFT(C63,5)</f>
        <v xml:space="preserve">17.1 </v>
      </c>
      <c r="C63" s="225" t="s">
        <v>275</v>
      </c>
      <c r="D63" s="228" t="s">
        <v>203</v>
      </c>
      <c r="E63" s="333" t="s">
        <v>681</v>
      </c>
      <c r="F63" s="234">
        <v>3</v>
      </c>
      <c r="G63" s="110">
        <v>1</v>
      </c>
      <c r="H63" s="148" t="s">
        <v>451</v>
      </c>
      <c r="I63" s="231" t="s">
        <v>451</v>
      </c>
      <c r="J63" s="255">
        <v>3</v>
      </c>
      <c r="K63" s="284" t="str">
        <f t="shared" ref="K63:K119" si="6">+IF(OR(ISBLANK(F63),ISBLANK(J63)),"",IF(OR(AND(F63=1,J63=1),AND(F63=1,J63=2),AND(F63=1,J63=3)),"Deficiencia de control mayor (diseño y ejecución)",IF(OR(AND(F63=2,J63=2),AND(F63=3,J63=1),AND(F63=3,J63=2),AND(F63=2,J63=1)),"Deficiencia de control (diseño o ejecución)",IF(AND(F63=2,J63=3),"Oportunidad de mejora","Mantenimiento del control"))))</f>
        <v>Mantenimiento del control</v>
      </c>
      <c r="L63" s="268">
        <f t="shared" ref="L63" si="7">+IF(K63="",312,IF(K63="Deficiencia de control mayor (diseño y ejecución)",320,IF(K63="Deficiencia de control (diseño o ejecución)",340,IF(K63="Oportunidad de mejora",360,380))))</f>
        <v>380</v>
      </c>
      <c r="M63" s="444">
        <v>6.3258000000000001</v>
      </c>
      <c r="N63" s="582">
        <f>+L63+M63</f>
        <v>386.32580000000002</v>
      </c>
    </row>
    <row r="64" spans="2:14" ht="16.5" x14ac:dyDescent="0.3">
      <c r="B64" s="250"/>
      <c r="C64" s="226"/>
      <c r="D64" s="229"/>
      <c r="E64" s="416"/>
      <c r="F64" s="235"/>
      <c r="G64" s="105">
        <v>2</v>
      </c>
      <c r="H64" s="105"/>
      <c r="I64" s="232"/>
      <c r="J64" s="256"/>
      <c r="K64" s="285"/>
      <c r="L64" s="268"/>
      <c r="M64" s="444"/>
      <c r="N64" s="582"/>
    </row>
    <row r="65" spans="2:14" ht="16.5" x14ac:dyDescent="0.3">
      <c r="B65" s="250"/>
      <c r="C65" s="226"/>
      <c r="D65" s="229"/>
      <c r="E65" s="416"/>
      <c r="F65" s="235"/>
      <c r="G65" s="105">
        <v>3</v>
      </c>
      <c r="H65" s="105"/>
      <c r="I65" s="232"/>
      <c r="J65" s="256"/>
      <c r="K65" s="285"/>
      <c r="L65" s="268"/>
      <c r="M65" s="444"/>
      <c r="N65" s="582"/>
    </row>
    <row r="66" spans="2:14" ht="16.5" x14ac:dyDescent="0.3">
      <c r="B66" s="250"/>
      <c r="C66" s="226"/>
      <c r="D66" s="229"/>
      <c r="E66" s="416"/>
      <c r="F66" s="235"/>
      <c r="G66" s="105">
        <v>4</v>
      </c>
      <c r="H66" s="105"/>
      <c r="I66" s="232"/>
      <c r="J66" s="256"/>
      <c r="K66" s="285"/>
      <c r="L66" s="268"/>
      <c r="M66" s="444"/>
      <c r="N66" s="582"/>
    </row>
    <row r="67" spans="2:14" ht="16.5" x14ac:dyDescent="0.3">
      <c r="B67" s="250"/>
      <c r="C67" s="226"/>
      <c r="D67" s="229"/>
      <c r="E67" s="416"/>
      <c r="F67" s="235"/>
      <c r="G67" s="105">
        <v>5</v>
      </c>
      <c r="H67" s="105"/>
      <c r="I67" s="232"/>
      <c r="J67" s="256"/>
      <c r="K67" s="285"/>
      <c r="L67" s="268"/>
      <c r="M67" s="444"/>
      <c r="N67" s="582"/>
    </row>
    <row r="68" spans="2:14" ht="16.5" x14ac:dyDescent="0.3">
      <c r="B68" s="250"/>
      <c r="C68" s="226"/>
      <c r="D68" s="229"/>
      <c r="E68" s="416"/>
      <c r="F68" s="235"/>
      <c r="G68" s="105">
        <v>6</v>
      </c>
      <c r="H68" s="105"/>
      <c r="I68" s="232"/>
      <c r="J68" s="256"/>
      <c r="K68" s="285"/>
      <c r="L68" s="268"/>
      <c r="M68" s="444"/>
      <c r="N68" s="582"/>
    </row>
    <row r="69" spans="2:14" ht="16.5" x14ac:dyDescent="0.3">
      <c r="B69" s="250"/>
      <c r="C69" s="226"/>
      <c r="D69" s="229"/>
      <c r="E69" s="416"/>
      <c r="F69" s="235"/>
      <c r="G69" s="105">
        <v>7</v>
      </c>
      <c r="H69" s="105"/>
      <c r="I69" s="232"/>
      <c r="J69" s="256"/>
      <c r="K69" s="285"/>
      <c r="L69" s="268"/>
      <c r="M69" s="444"/>
      <c r="N69" s="582"/>
    </row>
    <row r="70" spans="2:14" ht="17.25" thickBot="1" x14ac:dyDescent="0.35">
      <c r="B70" s="251"/>
      <c r="C70" s="227"/>
      <c r="D70" s="230"/>
      <c r="E70" s="417"/>
      <c r="F70" s="236"/>
      <c r="G70" s="109">
        <v>8</v>
      </c>
      <c r="H70" s="109"/>
      <c r="I70" s="233"/>
      <c r="J70" s="257"/>
      <c r="K70" s="286"/>
      <c r="L70" s="268"/>
      <c r="M70" s="444"/>
      <c r="N70" s="582"/>
    </row>
    <row r="71" spans="2:14" ht="34.5" customHeight="1" x14ac:dyDescent="0.3">
      <c r="B71" s="249" t="str">
        <f>+LEFT(C71,5)</f>
        <v xml:space="preserve">17.2 </v>
      </c>
      <c r="C71" s="574" t="s">
        <v>276</v>
      </c>
      <c r="D71" s="228" t="s">
        <v>203</v>
      </c>
      <c r="E71" s="333" t="s">
        <v>472</v>
      </c>
      <c r="F71" s="234">
        <v>3</v>
      </c>
      <c r="G71" s="110">
        <v>1</v>
      </c>
      <c r="H71" s="148" t="s">
        <v>451</v>
      </c>
      <c r="I71" s="231" t="s">
        <v>682</v>
      </c>
      <c r="J71" s="255">
        <v>3</v>
      </c>
      <c r="K71" s="284" t="str">
        <f t="shared" si="6"/>
        <v>Mantenimiento del control</v>
      </c>
      <c r="L71" s="268">
        <f t="shared" ref="L71" si="8">+IF(K71="",312,IF(K71="Deficiencia de control mayor (diseño y ejecución)",320,IF(K71="Deficiencia de control (diseño o ejecución)",340,IF(K71="Oportunidad de mejora",360,380))))</f>
        <v>380</v>
      </c>
      <c r="M71" s="444">
        <v>6.4569000000000001</v>
      </c>
      <c r="N71" s="582">
        <f>+L71+M71</f>
        <v>386.45690000000002</v>
      </c>
    </row>
    <row r="72" spans="2:14" ht="22.5" customHeight="1" x14ac:dyDescent="0.3">
      <c r="B72" s="250"/>
      <c r="C72" s="575"/>
      <c r="D72" s="229"/>
      <c r="E72" s="416"/>
      <c r="F72" s="235"/>
      <c r="G72" s="105">
        <v>2</v>
      </c>
      <c r="H72" s="105"/>
      <c r="I72" s="232"/>
      <c r="J72" s="256"/>
      <c r="K72" s="285"/>
      <c r="L72" s="268"/>
      <c r="M72" s="444"/>
      <c r="N72" s="582"/>
    </row>
    <row r="73" spans="2:14" ht="22.5" customHeight="1" x14ac:dyDescent="0.3">
      <c r="B73" s="250"/>
      <c r="C73" s="575"/>
      <c r="D73" s="229"/>
      <c r="E73" s="416"/>
      <c r="F73" s="235"/>
      <c r="G73" s="105">
        <v>3</v>
      </c>
      <c r="H73" s="105"/>
      <c r="I73" s="232"/>
      <c r="J73" s="256"/>
      <c r="K73" s="285"/>
      <c r="L73" s="268"/>
      <c r="M73" s="444"/>
      <c r="N73" s="582"/>
    </row>
    <row r="74" spans="2:14" ht="22.5" customHeight="1" x14ac:dyDescent="0.3">
      <c r="B74" s="250"/>
      <c r="C74" s="575"/>
      <c r="D74" s="229"/>
      <c r="E74" s="416"/>
      <c r="F74" s="235"/>
      <c r="G74" s="105">
        <v>4</v>
      </c>
      <c r="H74" s="105"/>
      <c r="I74" s="232"/>
      <c r="J74" s="256"/>
      <c r="K74" s="285"/>
      <c r="L74" s="268"/>
      <c r="M74" s="444"/>
      <c r="N74" s="582"/>
    </row>
    <row r="75" spans="2:14" ht="22.5" customHeight="1" x14ac:dyDescent="0.3">
      <c r="B75" s="250"/>
      <c r="C75" s="575"/>
      <c r="D75" s="229"/>
      <c r="E75" s="416"/>
      <c r="F75" s="235"/>
      <c r="G75" s="105">
        <v>5</v>
      </c>
      <c r="H75" s="105"/>
      <c r="I75" s="232"/>
      <c r="J75" s="256"/>
      <c r="K75" s="285"/>
      <c r="L75" s="268"/>
      <c r="M75" s="444"/>
      <c r="N75" s="582"/>
    </row>
    <row r="76" spans="2:14" ht="22.5" customHeight="1" x14ac:dyDescent="0.3">
      <c r="B76" s="250"/>
      <c r="C76" s="575"/>
      <c r="D76" s="229"/>
      <c r="E76" s="416"/>
      <c r="F76" s="235"/>
      <c r="G76" s="105">
        <v>6</v>
      </c>
      <c r="H76" s="105"/>
      <c r="I76" s="232"/>
      <c r="J76" s="256"/>
      <c r="K76" s="285"/>
      <c r="L76" s="268"/>
      <c r="M76" s="444"/>
      <c r="N76" s="582"/>
    </row>
    <row r="77" spans="2:14" ht="22.5" customHeight="1" x14ac:dyDescent="0.3">
      <c r="B77" s="250"/>
      <c r="C77" s="575"/>
      <c r="D77" s="229"/>
      <c r="E77" s="416"/>
      <c r="F77" s="235"/>
      <c r="G77" s="105">
        <v>7</v>
      </c>
      <c r="H77" s="105"/>
      <c r="I77" s="232"/>
      <c r="J77" s="256"/>
      <c r="K77" s="285"/>
      <c r="L77" s="268"/>
      <c r="M77" s="444"/>
      <c r="N77" s="582"/>
    </row>
    <row r="78" spans="2:14" ht="22.5" customHeight="1" thickBot="1" x14ac:dyDescent="0.35">
      <c r="B78" s="251"/>
      <c r="C78" s="576"/>
      <c r="D78" s="230"/>
      <c r="E78" s="417"/>
      <c r="F78" s="236"/>
      <c r="G78" s="109">
        <v>8</v>
      </c>
      <c r="H78" s="109"/>
      <c r="I78" s="233"/>
      <c r="J78" s="257"/>
      <c r="K78" s="286"/>
      <c r="L78" s="268"/>
      <c r="M78" s="444"/>
      <c r="N78" s="582"/>
    </row>
    <row r="79" spans="2:14" ht="54" customHeight="1" x14ac:dyDescent="0.3">
      <c r="B79" s="249" t="str">
        <f>+LEFT(C79,5)</f>
        <v xml:space="preserve">17.3 </v>
      </c>
      <c r="C79" s="225" t="s">
        <v>277</v>
      </c>
      <c r="D79" s="228" t="s">
        <v>203</v>
      </c>
      <c r="E79" s="333" t="s">
        <v>684</v>
      </c>
      <c r="F79" s="234">
        <v>3</v>
      </c>
      <c r="G79" s="110">
        <v>1</v>
      </c>
      <c r="H79" s="106" t="s">
        <v>683</v>
      </c>
      <c r="I79" s="231" t="s">
        <v>473</v>
      </c>
      <c r="J79" s="255">
        <v>3</v>
      </c>
      <c r="K79" s="284" t="str">
        <f t="shared" si="6"/>
        <v>Mantenimiento del control</v>
      </c>
      <c r="L79" s="268">
        <f t="shared" ref="L79" si="9">+IF(K79="",312,IF(K79="Deficiencia de control mayor (diseño y ejecución)",320,IF(K79="Deficiencia de control (diseño o ejecución)",340,IF(K79="Oportunidad de mejora",360,380))))</f>
        <v>380</v>
      </c>
      <c r="M79" s="444">
        <v>6.5632000000000001</v>
      </c>
      <c r="N79" s="582">
        <f>+L79+M79</f>
        <v>386.56319999999999</v>
      </c>
    </row>
    <row r="80" spans="2:14" ht="22.5" customHeight="1" x14ac:dyDescent="0.3">
      <c r="B80" s="250"/>
      <c r="C80" s="226"/>
      <c r="D80" s="229"/>
      <c r="E80" s="416"/>
      <c r="F80" s="235"/>
      <c r="G80" s="105">
        <v>2</v>
      </c>
      <c r="H80" s="105"/>
      <c r="I80" s="232"/>
      <c r="J80" s="256"/>
      <c r="K80" s="285"/>
      <c r="L80" s="268"/>
      <c r="M80" s="444"/>
      <c r="N80" s="582"/>
    </row>
    <row r="81" spans="2:14" ht="22.5" customHeight="1" x14ac:dyDescent="0.3">
      <c r="B81" s="250"/>
      <c r="C81" s="226"/>
      <c r="D81" s="229"/>
      <c r="E81" s="416"/>
      <c r="F81" s="235"/>
      <c r="G81" s="105">
        <v>3</v>
      </c>
      <c r="H81" s="105"/>
      <c r="I81" s="232"/>
      <c r="J81" s="256"/>
      <c r="K81" s="285"/>
      <c r="L81" s="268"/>
      <c r="M81" s="444"/>
      <c r="N81" s="582"/>
    </row>
    <row r="82" spans="2:14" ht="22.5" customHeight="1" x14ac:dyDescent="0.3">
      <c r="B82" s="250"/>
      <c r="C82" s="226"/>
      <c r="D82" s="229"/>
      <c r="E82" s="416"/>
      <c r="F82" s="235"/>
      <c r="G82" s="105">
        <v>4</v>
      </c>
      <c r="H82" s="105"/>
      <c r="I82" s="232"/>
      <c r="J82" s="256"/>
      <c r="K82" s="285"/>
      <c r="L82" s="268"/>
      <c r="M82" s="444"/>
      <c r="N82" s="582"/>
    </row>
    <row r="83" spans="2:14" ht="22.5" customHeight="1" x14ac:dyDescent="0.3">
      <c r="B83" s="250"/>
      <c r="C83" s="226"/>
      <c r="D83" s="229"/>
      <c r="E83" s="416"/>
      <c r="F83" s="235"/>
      <c r="G83" s="105">
        <v>5</v>
      </c>
      <c r="H83" s="105"/>
      <c r="I83" s="232"/>
      <c r="J83" s="256"/>
      <c r="K83" s="285"/>
      <c r="L83" s="268"/>
      <c r="M83" s="444"/>
      <c r="N83" s="582"/>
    </row>
    <row r="84" spans="2:14" ht="22.5" customHeight="1" x14ac:dyDescent="0.3">
      <c r="B84" s="250"/>
      <c r="C84" s="226"/>
      <c r="D84" s="229"/>
      <c r="E84" s="416"/>
      <c r="F84" s="235"/>
      <c r="G84" s="105">
        <v>6</v>
      </c>
      <c r="H84" s="105"/>
      <c r="I84" s="232"/>
      <c r="J84" s="256"/>
      <c r="K84" s="285"/>
      <c r="L84" s="268"/>
      <c r="M84" s="444"/>
      <c r="N84" s="582"/>
    </row>
    <row r="85" spans="2:14" ht="22.5" customHeight="1" x14ac:dyDescent="0.3">
      <c r="B85" s="250"/>
      <c r="C85" s="226"/>
      <c r="D85" s="229"/>
      <c r="E85" s="416"/>
      <c r="F85" s="235"/>
      <c r="G85" s="105">
        <v>7</v>
      </c>
      <c r="H85" s="105"/>
      <c r="I85" s="232"/>
      <c r="J85" s="256"/>
      <c r="K85" s="285"/>
      <c r="L85" s="268"/>
      <c r="M85" s="444"/>
      <c r="N85" s="582"/>
    </row>
    <row r="86" spans="2:14" ht="22.5" customHeight="1" thickBot="1" x14ac:dyDescent="0.35">
      <c r="B86" s="251"/>
      <c r="C86" s="227"/>
      <c r="D86" s="230"/>
      <c r="E86" s="417"/>
      <c r="F86" s="236"/>
      <c r="G86" s="109">
        <v>8</v>
      </c>
      <c r="H86" s="109"/>
      <c r="I86" s="233"/>
      <c r="J86" s="257"/>
      <c r="K86" s="286"/>
      <c r="L86" s="268"/>
      <c r="M86" s="444"/>
      <c r="N86" s="582"/>
    </row>
    <row r="87" spans="2:14" ht="22.5" customHeight="1" x14ac:dyDescent="0.3">
      <c r="B87" s="249" t="str">
        <f>+LEFT(C87,5)</f>
        <v xml:space="preserve">17.4 </v>
      </c>
      <c r="C87" s="225" t="s">
        <v>278</v>
      </c>
      <c r="D87" s="228" t="s">
        <v>203</v>
      </c>
      <c r="E87" s="333" t="s">
        <v>474</v>
      </c>
      <c r="F87" s="234">
        <v>3</v>
      </c>
      <c r="G87" s="110">
        <v>1</v>
      </c>
      <c r="H87" s="151" t="s">
        <v>475</v>
      </c>
      <c r="I87" s="237" t="s">
        <v>475</v>
      </c>
      <c r="J87" s="255">
        <v>3</v>
      </c>
      <c r="K87" s="284" t="str">
        <f t="shared" si="6"/>
        <v>Mantenimiento del control</v>
      </c>
      <c r="L87" s="268">
        <f t="shared" ref="L87" si="10">+IF(K87="",312,IF(K87="Deficiencia de control mayor (diseño y ejecución)",320,IF(K87="Deficiencia de control (diseño o ejecución)",340,IF(K87="Oportunidad de mejora",360,380))))</f>
        <v>380</v>
      </c>
      <c r="M87" s="444">
        <v>6.7854000000000001</v>
      </c>
      <c r="N87" s="582">
        <f>+L87+M87</f>
        <v>386.78539999999998</v>
      </c>
    </row>
    <row r="88" spans="2:14" ht="22.5" customHeight="1" x14ac:dyDescent="0.3">
      <c r="B88" s="250"/>
      <c r="C88" s="226"/>
      <c r="D88" s="229"/>
      <c r="E88" s="416"/>
      <c r="F88" s="235"/>
      <c r="G88" s="105">
        <v>2</v>
      </c>
      <c r="H88" s="105"/>
      <c r="I88" s="238"/>
      <c r="J88" s="256"/>
      <c r="K88" s="285"/>
      <c r="L88" s="268"/>
      <c r="M88" s="444"/>
      <c r="N88" s="582"/>
    </row>
    <row r="89" spans="2:14" ht="22.5" customHeight="1" x14ac:dyDescent="0.3">
      <c r="B89" s="250"/>
      <c r="C89" s="226"/>
      <c r="D89" s="229"/>
      <c r="E89" s="416"/>
      <c r="F89" s="235"/>
      <c r="G89" s="105">
        <v>3</v>
      </c>
      <c r="H89" s="105"/>
      <c r="I89" s="238"/>
      <c r="J89" s="256"/>
      <c r="K89" s="285"/>
      <c r="L89" s="268"/>
      <c r="M89" s="444"/>
      <c r="N89" s="582"/>
    </row>
    <row r="90" spans="2:14" ht="22.5" customHeight="1" x14ac:dyDescent="0.3">
      <c r="B90" s="250"/>
      <c r="C90" s="226"/>
      <c r="D90" s="229"/>
      <c r="E90" s="416"/>
      <c r="F90" s="235"/>
      <c r="G90" s="105">
        <v>4</v>
      </c>
      <c r="H90" s="105"/>
      <c r="I90" s="238"/>
      <c r="J90" s="256"/>
      <c r="K90" s="285"/>
      <c r="L90" s="268"/>
      <c r="M90" s="444"/>
      <c r="N90" s="582"/>
    </row>
    <row r="91" spans="2:14" ht="22.5" customHeight="1" x14ac:dyDescent="0.3">
      <c r="B91" s="250"/>
      <c r="C91" s="226"/>
      <c r="D91" s="229"/>
      <c r="E91" s="416"/>
      <c r="F91" s="235"/>
      <c r="G91" s="105">
        <v>5</v>
      </c>
      <c r="H91" s="105"/>
      <c r="I91" s="238"/>
      <c r="J91" s="256"/>
      <c r="K91" s="285"/>
      <c r="L91" s="268"/>
      <c r="M91" s="444"/>
      <c r="N91" s="582"/>
    </row>
    <row r="92" spans="2:14" ht="22.5" customHeight="1" x14ac:dyDescent="0.3">
      <c r="B92" s="250"/>
      <c r="C92" s="226"/>
      <c r="D92" s="229"/>
      <c r="E92" s="416"/>
      <c r="F92" s="235"/>
      <c r="G92" s="105">
        <v>6</v>
      </c>
      <c r="H92" s="105"/>
      <c r="I92" s="238"/>
      <c r="J92" s="256"/>
      <c r="K92" s="285"/>
      <c r="L92" s="268"/>
      <c r="M92" s="444"/>
      <c r="N92" s="582"/>
    </row>
    <row r="93" spans="2:14" ht="22.5" customHeight="1" x14ac:dyDescent="0.3">
      <c r="B93" s="250"/>
      <c r="C93" s="226"/>
      <c r="D93" s="229"/>
      <c r="E93" s="416"/>
      <c r="F93" s="235"/>
      <c r="G93" s="105">
        <v>7</v>
      </c>
      <c r="H93" s="105"/>
      <c r="I93" s="238"/>
      <c r="J93" s="256"/>
      <c r="K93" s="285"/>
      <c r="L93" s="268"/>
      <c r="M93" s="444"/>
      <c r="N93" s="582"/>
    </row>
    <row r="94" spans="2:14" ht="22.5" customHeight="1" thickBot="1" x14ac:dyDescent="0.35">
      <c r="B94" s="251"/>
      <c r="C94" s="227"/>
      <c r="D94" s="230"/>
      <c r="E94" s="417"/>
      <c r="F94" s="236"/>
      <c r="G94" s="109">
        <v>8</v>
      </c>
      <c r="H94" s="109"/>
      <c r="I94" s="239"/>
      <c r="J94" s="257"/>
      <c r="K94" s="286"/>
      <c r="L94" s="268"/>
      <c r="M94" s="444"/>
      <c r="N94" s="582"/>
    </row>
    <row r="95" spans="2:14" ht="53.25" customHeight="1" x14ac:dyDescent="0.3">
      <c r="B95" s="249" t="str">
        <f>+LEFT(C95,5)</f>
        <v xml:space="preserve">17.5 </v>
      </c>
      <c r="C95" s="225" t="s">
        <v>279</v>
      </c>
      <c r="D95" s="228" t="s">
        <v>203</v>
      </c>
      <c r="E95" s="333" t="s">
        <v>685</v>
      </c>
      <c r="F95" s="234">
        <v>3</v>
      </c>
      <c r="G95" s="110">
        <v>1</v>
      </c>
      <c r="H95" s="106" t="s">
        <v>683</v>
      </c>
      <c r="I95" s="237" t="s">
        <v>475</v>
      </c>
      <c r="J95" s="255">
        <v>3</v>
      </c>
      <c r="K95" s="284" t="str">
        <f t="shared" si="6"/>
        <v>Mantenimiento del control</v>
      </c>
      <c r="L95" s="268">
        <f t="shared" ref="L95" si="11">+IF(K95="",312,IF(K95="Deficiencia de control mayor (diseño y ejecución)",320,IF(K95="Deficiencia de control (diseño o ejecución)",340,IF(K95="Oportunidad de mejora",360,380))))</f>
        <v>380</v>
      </c>
      <c r="M95" s="444">
        <v>6.8745000000000003</v>
      </c>
      <c r="N95" s="582">
        <f>+L95+M95</f>
        <v>386.87450000000001</v>
      </c>
    </row>
    <row r="96" spans="2:14" ht="22.5" customHeight="1" x14ac:dyDescent="0.3">
      <c r="B96" s="250"/>
      <c r="C96" s="226"/>
      <c r="D96" s="229"/>
      <c r="E96" s="416"/>
      <c r="F96" s="235"/>
      <c r="G96" s="105">
        <v>2</v>
      </c>
      <c r="H96" s="105"/>
      <c r="I96" s="238"/>
      <c r="J96" s="256"/>
      <c r="K96" s="285"/>
      <c r="L96" s="268"/>
      <c r="M96" s="444"/>
      <c r="N96" s="582"/>
    </row>
    <row r="97" spans="2:14" ht="22.5" customHeight="1" x14ac:dyDescent="0.3">
      <c r="B97" s="250"/>
      <c r="C97" s="226"/>
      <c r="D97" s="229"/>
      <c r="E97" s="416"/>
      <c r="F97" s="235"/>
      <c r="G97" s="105">
        <v>3</v>
      </c>
      <c r="H97" s="105"/>
      <c r="I97" s="238"/>
      <c r="J97" s="256"/>
      <c r="K97" s="285"/>
      <c r="L97" s="268"/>
      <c r="M97" s="444"/>
      <c r="N97" s="582"/>
    </row>
    <row r="98" spans="2:14" ht="22.5" customHeight="1" x14ac:dyDescent="0.3">
      <c r="B98" s="250"/>
      <c r="C98" s="226"/>
      <c r="D98" s="229"/>
      <c r="E98" s="416"/>
      <c r="F98" s="235"/>
      <c r="G98" s="105">
        <v>4</v>
      </c>
      <c r="H98" s="105"/>
      <c r="I98" s="238"/>
      <c r="J98" s="256"/>
      <c r="K98" s="285"/>
      <c r="L98" s="268"/>
      <c r="M98" s="444"/>
      <c r="N98" s="582"/>
    </row>
    <row r="99" spans="2:14" ht="22.5" customHeight="1" x14ac:dyDescent="0.3">
      <c r="B99" s="250"/>
      <c r="C99" s="226"/>
      <c r="D99" s="229"/>
      <c r="E99" s="416"/>
      <c r="F99" s="235"/>
      <c r="G99" s="105">
        <v>5</v>
      </c>
      <c r="H99" s="105"/>
      <c r="I99" s="238"/>
      <c r="J99" s="256"/>
      <c r="K99" s="285"/>
      <c r="L99" s="268"/>
      <c r="M99" s="444"/>
      <c r="N99" s="582"/>
    </row>
    <row r="100" spans="2:14" ht="22.5" customHeight="1" x14ac:dyDescent="0.3">
      <c r="B100" s="250"/>
      <c r="C100" s="226"/>
      <c r="D100" s="229"/>
      <c r="E100" s="416"/>
      <c r="F100" s="235"/>
      <c r="G100" s="105">
        <v>6</v>
      </c>
      <c r="H100" s="105"/>
      <c r="I100" s="238"/>
      <c r="J100" s="256"/>
      <c r="K100" s="285"/>
      <c r="L100" s="268"/>
      <c r="M100" s="444"/>
      <c r="N100" s="582"/>
    </row>
    <row r="101" spans="2:14" ht="22.5" customHeight="1" x14ac:dyDescent="0.3">
      <c r="B101" s="250"/>
      <c r="C101" s="226"/>
      <c r="D101" s="229"/>
      <c r="E101" s="416"/>
      <c r="F101" s="235"/>
      <c r="G101" s="105">
        <v>7</v>
      </c>
      <c r="H101" s="105"/>
      <c r="I101" s="238"/>
      <c r="J101" s="256"/>
      <c r="K101" s="285"/>
      <c r="L101" s="268"/>
      <c r="M101" s="444"/>
      <c r="N101" s="582"/>
    </row>
    <row r="102" spans="2:14" ht="22.5" customHeight="1" thickBot="1" x14ac:dyDescent="0.35">
      <c r="B102" s="251"/>
      <c r="C102" s="227"/>
      <c r="D102" s="230"/>
      <c r="E102" s="417"/>
      <c r="F102" s="236"/>
      <c r="G102" s="109">
        <v>8</v>
      </c>
      <c r="H102" s="109"/>
      <c r="I102" s="239"/>
      <c r="J102" s="257"/>
      <c r="K102" s="286"/>
      <c r="L102" s="268"/>
      <c r="M102" s="444"/>
      <c r="N102" s="582"/>
    </row>
    <row r="103" spans="2:14" ht="55.5" customHeight="1" x14ac:dyDescent="0.3">
      <c r="B103" s="249" t="str">
        <f>+LEFT(C103,5)</f>
        <v xml:space="preserve">17.6 </v>
      </c>
      <c r="C103" s="225" t="s">
        <v>280</v>
      </c>
      <c r="D103" s="228" t="s">
        <v>281</v>
      </c>
      <c r="E103" s="333" t="s">
        <v>687</v>
      </c>
      <c r="F103" s="234">
        <v>3</v>
      </c>
      <c r="G103" s="110">
        <v>1</v>
      </c>
      <c r="H103" s="106" t="s">
        <v>688</v>
      </c>
      <c r="I103" s="231" t="s">
        <v>686</v>
      </c>
      <c r="J103" s="255">
        <v>3</v>
      </c>
      <c r="K103" s="284" t="str">
        <f t="shared" si="6"/>
        <v>Mantenimiento del control</v>
      </c>
      <c r="L103" s="268">
        <f t="shared" ref="L103" si="12">+IF(K103="",312,IF(K103="Deficiencia de control mayor (diseño y ejecución)",320,IF(K103="Deficiencia de control (diseño o ejecución)",340,IF(K103="Oportunidad de mejora",360,380))))</f>
        <v>380</v>
      </c>
      <c r="M103" s="444">
        <v>6.9874000000000001</v>
      </c>
      <c r="N103" s="582">
        <f>+L103+M103</f>
        <v>386.98739999999998</v>
      </c>
    </row>
    <row r="104" spans="2:14" ht="38.1" customHeight="1" x14ac:dyDescent="0.3">
      <c r="B104" s="250"/>
      <c r="C104" s="226"/>
      <c r="D104" s="229"/>
      <c r="E104" s="416"/>
      <c r="F104" s="235"/>
      <c r="G104" s="105">
        <v>2</v>
      </c>
      <c r="H104" s="149" t="s">
        <v>689</v>
      </c>
      <c r="I104" s="232"/>
      <c r="J104" s="256"/>
      <c r="K104" s="285"/>
      <c r="L104" s="268"/>
      <c r="M104" s="444"/>
      <c r="N104" s="582"/>
    </row>
    <row r="105" spans="2:14" ht="22.5" customHeight="1" x14ac:dyDescent="0.3">
      <c r="B105" s="250"/>
      <c r="C105" s="226"/>
      <c r="D105" s="229"/>
      <c r="E105" s="416"/>
      <c r="F105" s="235"/>
      <c r="G105" s="105">
        <v>3</v>
      </c>
      <c r="H105" s="105"/>
      <c r="I105" s="232"/>
      <c r="J105" s="256"/>
      <c r="K105" s="285"/>
      <c r="L105" s="268"/>
      <c r="M105" s="444"/>
      <c r="N105" s="582"/>
    </row>
    <row r="106" spans="2:14" ht="22.5" customHeight="1" x14ac:dyDescent="0.3">
      <c r="B106" s="250"/>
      <c r="C106" s="226"/>
      <c r="D106" s="229"/>
      <c r="E106" s="416"/>
      <c r="F106" s="235"/>
      <c r="G106" s="105">
        <v>4</v>
      </c>
      <c r="H106" s="105"/>
      <c r="I106" s="232"/>
      <c r="J106" s="256"/>
      <c r="K106" s="285"/>
      <c r="L106" s="268"/>
      <c r="M106" s="444"/>
      <c r="N106" s="582"/>
    </row>
    <row r="107" spans="2:14" ht="22.5" customHeight="1" x14ac:dyDescent="0.3">
      <c r="B107" s="250"/>
      <c r="C107" s="226"/>
      <c r="D107" s="229"/>
      <c r="E107" s="416"/>
      <c r="F107" s="235"/>
      <c r="G107" s="105">
        <v>5</v>
      </c>
      <c r="H107" s="105"/>
      <c r="I107" s="232"/>
      <c r="J107" s="256"/>
      <c r="K107" s="285"/>
      <c r="L107" s="268"/>
      <c r="M107" s="444"/>
      <c r="N107" s="582"/>
    </row>
    <row r="108" spans="2:14" ht="22.5" customHeight="1" x14ac:dyDescent="0.3">
      <c r="B108" s="250"/>
      <c r="C108" s="226"/>
      <c r="D108" s="229"/>
      <c r="E108" s="416"/>
      <c r="F108" s="235"/>
      <c r="G108" s="105">
        <v>6</v>
      </c>
      <c r="H108" s="105"/>
      <c r="I108" s="232"/>
      <c r="J108" s="256"/>
      <c r="K108" s="285"/>
      <c r="L108" s="268"/>
      <c r="M108" s="444"/>
      <c r="N108" s="582"/>
    </row>
    <row r="109" spans="2:14" ht="22.5" customHeight="1" x14ac:dyDescent="0.3">
      <c r="B109" s="250"/>
      <c r="C109" s="226"/>
      <c r="D109" s="229"/>
      <c r="E109" s="416"/>
      <c r="F109" s="235"/>
      <c r="G109" s="105">
        <v>7</v>
      </c>
      <c r="H109" s="105"/>
      <c r="I109" s="232"/>
      <c r="J109" s="256"/>
      <c r="K109" s="285"/>
      <c r="L109" s="268"/>
      <c r="M109" s="444"/>
      <c r="N109" s="582"/>
    </row>
    <row r="110" spans="2:14" ht="22.5" customHeight="1" thickBot="1" x14ac:dyDescent="0.35">
      <c r="B110" s="251"/>
      <c r="C110" s="227"/>
      <c r="D110" s="230"/>
      <c r="E110" s="417"/>
      <c r="F110" s="236"/>
      <c r="G110" s="109">
        <v>8</v>
      </c>
      <c r="H110" s="109"/>
      <c r="I110" s="233"/>
      <c r="J110" s="257"/>
      <c r="K110" s="286"/>
      <c r="L110" s="268"/>
      <c r="M110" s="444"/>
      <c r="N110" s="582"/>
    </row>
    <row r="111" spans="2:14" ht="81.95" customHeight="1" x14ac:dyDescent="0.3">
      <c r="B111" s="249" t="str">
        <f>+LEFT(C111,5)</f>
        <v xml:space="preserve">17.7 </v>
      </c>
      <c r="C111" s="452" t="s">
        <v>282</v>
      </c>
      <c r="D111" s="228" t="s">
        <v>283</v>
      </c>
      <c r="E111" s="231" t="s">
        <v>476</v>
      </c>
      <c r="F111" s="234">
        <v>3</v>
      </c>
      <c r="G111" s="110">
        <v>1</v>
      </c>
      <c r="H111" s="106" t="s">
        <v>690</v>
      </c>
      <c r="I111" s="231" t="s">
        <v>691</v>
      </c>
      <c r="J111" s="255">
        <v>3</v>
      </c>
      <c r="K111" s="240" t="str">
        <f t="shared" si="6"/>
        <v>Mantenimiento del control</v>
      </c>
      <c r="L111" s="268">
        <f t="shared" ref="L111" si="13">+IF(K111="",312,IF(K111="Deficiencia de control mayor (diseño y ejecución)",320,IF(K111="Deficiencia de control (diseño o ejecución)",340,IF(K111="Oportunidad de mejora",360,380))))</f>
        <v>380</v>
      </c>
      <c r="M111" s="444">
        <v>6.9874499999999999</v>
      </c>
      <c r="N111" s="582">
        <f>+L111+M111</f>
        <v>386.98745000000002</v>
      </c>
    </row>
    <row r="112" spans="2:14" ht="24.75" customHeight="1" x14ac:dyDescent="0.3">
      <c r="B112" s="250"/>
      <c r="C112" s="453"/>
      <c r="D112" s="229"/>
      <c r="E112" s="232"/>
      <c r="F112" s="235"/>
      <c r="G112" s="105">
        <v>2</v>
      </c>
      <c r="H112" s="105"/>
      <c r="I112" s="238"/>
      <c r="J112" s="256"/>
      <c r="K112" s="241"/>
      <c r="L112" s="268"/>
      <c r="M112" s="444"/>
      <c r="N112" s="582"/>
    </row>
    <row r="113" spans="2:14" ht="22.5" customHeight="1" x14ac:dyDescent="0.3">
      <c r="B113" s="250"/>
      <c r="C113" s="453"/>
      <c r="D113" s="229"/>
      <c r="E113" s="232"/>
      <c r="F113" s="235"/>
      <c r="G113" s="105">
        <v>3</v>
      </c>
      <c r="H113" s="105"/>
      <c r="I113" s="238"/>
      <c r="J113" s="256"/>
      <c r="K113" s="241"/>
      <c r="L113" s="268"/>
      <c r="M113" s="444"/>
      <c r="N113" s="582"/>
    </row>
    <row r="114" spans="2:14" ht="22.5" customHeight="1" x14ac:dyDescent="0.3">
      <c r="B114" s="250"/>
      <c r="C114" s="453"/>
      <c r="D114" s="229"/>
      <c r="E114" s="232"/>
      <c r="F114" s="235"/>
      <c r="G114" s="105">
        <v>4</v>
      </c>
      <c r="H114" s="105"/>
      <c r="I114" s="238"/>
      <c r="J114" s="256"/>
      <c r="K114" s="241"/>
      <c r="L114" s="268"/>
      <c r="M114" s="444"/>
      <c r="N114" s="582"/>
    </row>
    <row r="115" spans="2:14" ht="22.5" customHeight="1" x14ac:dyDescent="0.3">
      <c r="B115" s="250"/>
      <c r="C115" s="453"/>
      <c r="D115" s="229"/>
      <c r="E115" s="232"/>
      <c r="F115" s="235"/>
      <c r="G115" s="105">
        <v>5</v>
      </c>
      <c r="H115" s="105"/>
      <c r="I115" s="238"/>
      <c r="J115" s="256"/>
      <c r="K115" s="241"/>
      <c r="L115" s="268"/>
      <c r="M115" s="444"/>
      <c r="N115" s="582"/>
    </row>
    <row r="116" spans="2:14" ht="22.5" customHeight="1" x14ac:dyDescent="0.3">
      <c r="B116" s="250"/>
      <c r="C116" s="453"/>
      <c r="D116" s="229"/>
      <c r="E116" s="232"/>
      <c r="F116" s="235"/>
      <c r="G116" s="105">
        <v>6</v>
      </c>
      <c r="H116" s="105"/>
      <c r="I116" s="238"/>
      <c r="J116" s="256"/>
      <c r="K116" s="241"/>
      <c r="L116" s="268"/>
      <c r="M116" s="444"/>
      <c r="N116" s="582"/>
    </row>
    <row r="117" spans="2:14" ht="22.5" customHeight="1" x14ac:dyDescent="0.3">
      <c r="B117" s="250"/>
      <c r="C117" s="453"/>
      <c r="D117" s="229"/>
      <c r="E117" s="232"/>
      <c r="F117" s="235"/>
      <c r="G117" s="105">
        <v>7</v>
      </c>
      <c r="H117" s="105"/>
      <c r="I117" s="238"/>
      <c r="J117" s="256"/>
      <c r="K117" s="241"/>
      <c r="L117" s="268"/>
      <c r="M117" s="444"/>
      <c r="N117" s="582"/>
    </row>
    <row r="118" spans="2:14" ht="22.5" customHeight="1" thickBot="1" x14ac:dyDescent="0.35">
      <c r="B118" s="251"/>
      <c r="C118" s="454"/>
      <c r="D118" s="230"/>
      <c r="E118" s="233"/>
      <c r="F118" s="236"/>
      <c r="G118" s="109">
        <v>8</v>
      </c>
      <c r="H118" s="109"/>
      <c r="I118" s="239"/>
      <c r="J118" s="257"/>
      <c r="K118" s="242"/>
      <c r="L118" s="268"/>
      <c r="M118" s="444"/>
      <c r="N118" s="582"/>
    </row>
    <row r="119" spans="2:14" ht="71.099999999999994" customHeight="1" x14ac:dyDescent="0.3">
      <c r="B119" s="249" t="str">
        <f>+LEFT(C119,5)</f>
        <v xml:space="preserve">17.8 </v>
      </c>
      <c r="C119" s="452" t="s">
        <v>284</v>
      </c>
      <c r="D119" s="228" t="s">
        <v>283</v>
      </c>
      <c r="E119" s="231" t="s">
        <v>692</v>
      </c>
      <c r="F119" s="234">
        <v>3</v>
      </c>
      <c r="G119" s="104">
        <v>1</v>
      </c>
      <c r="H119" s="106" t="s">
        <v>690</v>
      </c>
      <c r="I119" s="231" t="s">
        <v>452</v>
      </c>
      <c r="J119" s="255">
        <v>3</v>
      </c>
      <c r="K119" s="240" t="str">
        <f t="shared" si="6"/>
        <v>Mantenimiento del control</v>
      </c>
      <c r="L119" s="268">
        <f t="shared" ref="L119" si="14">+IF(K119="",312,IF(K119="Deficiencia de control mayor (diseño y ejecución)",320,IF(K119="Deficiencia de control (diseño o ejecución)",340,IF(K119="Oportunidad de mejora",360,380))))</f>
        <v>380</v>
      </c>
      <c r="M119" s="444">
        <v>6.9874559999999999</v>
      </c>
      <c r="N119" s="582">
        <f>+L119+M119</f>
        <v>386.98745600000001</v>
      </c>
    </row>
    <row r="120" spans="2:14" ht="22.5" customHeight="1" x14ac:dyDescent="0.3">
      <c r="B120" s="250"/>
      <c r="C120" s="453"/>
      <c r="D120" s="229"/>
      <c r="E120" s="232"/>
      <c r="F120" s="235"/>
      <c r="G120" s="105">
        <v>2</v>
      </c>
      <c r="H120" s="105"/>
      <c r="I120" s="232"/>
      <c r="J120" s="256"/>
      <c r="K120" s="241"/>
      <c r="L120" s="268"/>
      <c r="M120" s="444"/>
      <c r="N120" s="582"/>
    </row>
    <row r="121" spans="2:14" ht="22.5" customHeight="1" x14ac:dyDescent="0.3">
      <c r="B121" s="250"/>
      <c r="C121" s="453"/>
      <c r="D121" s="229"/>
      <c r="E121" s="232"/>
      <c r="F121" s="235"/>
      <c r="G121" s="105">
        <v>3</v>
      </c>
      <c r="H121" s="105"/>
      <c r="I121" s="232"/>
      <c r="J121" s="256"/>
      <c r="K121" s="241"/>
      <c r="L121" s="268"/>
      <c r="M121" s="444"/>
      <c r="N121" s="582"/>
    </row>
    <row r="122" spans="2:14" ht="22.5" customHeight="1" x14ac:dyDescent="0.3">
      <c r="B122" s="250"/>
      <c r="C122" s="453"/>
      <c r="D122" s="229"/>
      <c r="E122" s="232"/>
      <c r="F122" s="235"/>
      <c r="G122" s="105">
        <v>4</v>
      </c>
      <c r="H122" s="105"/>
      <c r="I122" s="232"/>
      <c r="J122" s="256"/>
      <c r="K122" s="241"/>
      <c r="L122" s="268"/>
      <c r="M122" s="444"/>
      <c r="N122" s="582"/>
    </row>
    <row r="123" spans="2:14" ht="22.5" customHeight="1" x14ac:dyDescent="0.3">
      <c r="B123" s="250"/>
      <c r="C123" s="453"/>
      <c r="D123" s="229"/>
      <c r="E123" s="232"/>
      <c r="F123" s="235"/>
      <c r="G123" s="105">
        <v>5</v>
      </c>
      <c r="H123" s="105"/>
      <c r="I123" s="232"/>
      <c r="J123" s="256"/>
      <c r="K123" s="241"/>
      <c r="L123" s="268"/>
      <c r="M123" s="444"/>
      <c r="N123" s="582"/>
    </row>
    <row r="124" spans="2:14" ht="22.5" customHeight="1" x14ac:dyDescent="0.3">
      <c r="B124" s="250"/>
      <c r="C124" s="453"/>
      <c r="D124" s="229"/>
      <c r="E124" s="232"/>
      <c r="F124" s="235"/>
      <c r="G124" s="105">
        <v>6</v>
      </c>
      <c r="H124" s="105"/>
      <c r="I124" s="232"/>
      <c r="J124" s="256"/>
      <c r="K124" s="241"/>
      <c r="L124" s="268"/>
      <c r="M124" s="444"/>
      <c r="N124" s="582"/>
    </row>
    <row r="125" spans="2:14" ht="22.5" customHeight="1" x14ac:dyDescent="0.3">
      <c r="B125" s="250"/>
      <c r="C125" s="453"/>
      <c r="D125" s="229"/>
      <c r="E125" s="232"/>
      <c r="F125" s="235"/>
      <c r="G125" s="105">
        <v>7</v>
      </c>
      <c r="H125" s="105"/>
      <c r="I125" s="232"/>
      <c r="J125" s="256"/>
      <c r="K125" s="241"/>
      <c r="L125" s="268"/>
      <c r="M125" s="444"/>
      <c r="N125" s="582"/>
    </row>
    <row r="126" spans="2:14" ht="22.5" customHeight="1" thickBot="1" x14ac:dyDescent="0.35">
      <c r="B126" s="251"/>
      <c r="C126" s="454"/>
      <c r="D126" s="230"/>
      <c r="E126" s="233"/>
      <c r="F126" s="236"/>
      <c r="G126" s="109">
        <v>8</v>
      </c>
      <c r="H126" s="109"/>
      <c r="I126" s="233"/>
      <c r="J126" s="257"/>
      <c r="K126" s="242"/>
      <c r="L126" s="268"/>
      <c r="M126" s="444"/>
      <c r="N126" s="582"/>
    </row>
    <row r="127" spans="2:14" ht="54.75" customHeight="1" x14ac:dyDescent="0.3">
      <c r="B127" s="249" t="str">
        <f>+LEFT(C127,5)</f>
        <v xml:space="preserve">17.9 </v>
      </c>
      <c r="C127" s="225" t="s">
        <v>285</v>
      </c>
      <c r="D127" s="228" t="s">
        <v>283</v>
      </c>
      <c r="E127" s="556" t="s">
        <v>693</v>
      </c>
      <c r="F127" s="234">
        <v>3</v>
      </c>
      <c r="G127" s="110">
        <v>1</v>
      </c>
      <c r="H127" s="106" t="s">
        <v>461</v>
      </c>
      <c r="I127" s="231" t="s">
        <v>477</v>
      </c>
      <c r="J127" s="255">
        <v>3</v>
      </c>
      <c r="K127" s="284" t="str">
        <f t="shared" ref="K127" si="15">+IF(OR(ISBLANK(F127),ISBLANK(J127)),"",IF(OR(AND(F127=1,J127=1),AND(F127=1,J127=2),AND(F127=1,J127=3)),"Deficiencia de control mayor (diseño y ejecución)",IF(OR(AND(F127=2,J127=2),AND(F127=3,J127=1),AND(F127=3,J127=2),AND(F127=2,J127=1)),"Deficiencia de control (diseño o ejecución)",IF(AND(F127=2,J127=3),"Oportunidad de mejora","Mantenimiento del control"))))</f>
        <v>Mantenimiento del control</v>
      </c>
      <c r="L127" s="268">
        <f t="shared" ref="L127" si="16">+IF(K127="",312,IF(K127="Deficiencia de control mayor (diseño y ejecución)",320,IF(K127="Deficiencia de control (diseño o ejecución)",340,IF(K127="Oportunidad de mejora",360,380))))</f>
        <v>380</v>
      </c>
      <c r="M127" s="444">
        <v>7.0122999999999998</v>
      </c>
      <c r="N127" s="582">
        <f>+L127+M127</f>
        <v>387.01229999999998</v>
      </c>
    </row>
    <row r="128" spans="2:14" ht="22.5" customHeight="1" x14ac:dyDescent="0.3">
      <c r="B128" s="250"/>
      <c r="C128" s="226"/>
      <c r="D128" s="229"/>
      <c r="E128" s="557"/>
      <c r="F128" s="235"/>
      <c r="G128" s="105">
        <v>2</v>
      </c>
      <c r="H128" s="105"/>
      <c r="I128" s="232"/>
      <c r="J128" s="256"/>
      <c r="K128" s="285"/>
      <c r="L128" s="268"/>
      <c r="M128" s="444"/>
      <c r="N128" s="582"/>
    </row>
    <row r="129" spans="2:14" ht="22.5" customHeight="1" x14ac:dyDescent="0.3">
      <c r="B129" s="250"/>
      <c r="C129" s="226"/>
      <c r="D129" s="229"/>
      <c r="E129" s="557"/>
      <c r="F129" s="235"/>
      <c r="G129" s="105">
        <v>3</v>
      </c>
      <c r="H129" s="105"/>
      <c r="I129" s="232"/>
      <c r="J129" s="256"/>
      <c r="K129" s="285"/>
      <c r="L129" s="268"/>
      <c r="M129" s="444"/>
      <c r="N129" s="582"/>
    </row>
    <row r="130" spans="2:14" ht="22.5" customHeight="1" x14ac:dyDescent="0.3">
      <c r="B130" s="250"/>
      <c r="C130" s="226"/>
      <c r="D130" s="229"/>
      <c r="E130" s="557"/>
      <c r="F130" s="235"/>
      <c r="G130" s="105">
        <v>4</v>
      </c>
      <c r="H130" s="105"/>
      <c r="I130" s="232"/>
      <c r="J130" s="256"/>
      <c r="K130" s="285"/>
      <c r="L130" s="268"/>
      <c r="M130" s="444"/>
      <c r="N130" s="582"/>
    </row>
    <row r="131" spans="2:14" ht="22.5" customHeight="1" x14ac:dyDescent="0.3">
      <c r="B131" s="250"/>
      <c r="C131" s="226"/>
      <c r="D131" s="229"/>
      <c r="E131" s="557"/>
      <c r="F131" s="235"/>
      <c r="G131" s="105">
        <v>5</v>
      </c>
      <c r="H131" s="105"/>
      <c r="I131" s="232"/>
      <c r="J131" s="256"/>
      <c r="K131" s="285"/>
      <c r="L131" s="268"/>
      <c r="M131" s="444"/>
      <c r="N131" s="582"/>
    </row>
    <row r="132" spans="2:14" ht="22.5" customHeight="1" x14ac:dyDescent="0.3">
      <c r="B132" s="250"/>
      <c r="C132" s="226"/>
      <c r="D132" s="229"/>
      <c r="E132" s="557"/>
      <c r="F132" s="235"/>
      <c r="G132" s="105">
        <v>6</v>
      </c>
      <c r="H132" s="105"/>
      <c r="I132" s="232"/>
      <c r="J132" s="256"/>
      <c r="K132" s="285"/>
      <c r="L132" s="268"/>
      <c r="M132" s="444"/>
      <c r="N132" s="582"/>
    </row>
    <row r="133" spans="2:14" ht="22.5" customHeight="1" x14ac:dyDescent="0.3">
      <c r="B133" s="250"/>
      <c r="C133" s="226"/>
      <c r="D133" s="229"/>
      <c r="E133" s="557"/>
      <c r="F133" s="235"/>
      <c r="G133" s="105">
        <v>7</v>
      </c>
      <c r="H133" s="105"/>
      <c r="I133" s="232"/>
      <c r="J133" s="256"/>
      <c r="K133" s="285"/>
      <c r="L133" s="268"/>
      <c r="M133" s="444"/>
      <c r="N133" s="582"/>
    </row>
    <row r="134" spans="2:14" ht="22.5" customHeight="1" thickBot="1" x14ac:dyDescent="0.35">
      <c r="B134" s="251"/>
      <c r="C134" s="227"/>
      <c r="D134" s="230"/>
      <c r="E134" s="558"/>
      <c r="F134" s="236"/>
      <c r="G134" s="109">
        <v>8</v>
      </c>
      <c r="H134" s="109"/>
      <c r="I134" s="233"/>
      <c r="J134" s="257"/>
      <c r="K134" s="286"/>
      <c r="L134" s="268"/>
      <c r="M134" s="444"/>
      <c r="N134" s="582"/>
    </row>
  </sheetData>
  <sheetProtection password="D72A" sheet="1" objects="1" scenarios="1" formatCells="0" formatColumns="0" formatRows="0"/>
  <mergeCells count="184">
    <mergeCell ref="L111:L118"/>
    <mergeCell ref="L119:L126"/>
    <mergeCell ref="M111:M118"/>
    <mergeCell ref="M119:M126"/>
    <mergeCell ref="N111:N118"/>
    <mergeCell ref="N119:N126"/>
    <mergeCell ref="I127:I134"/>
    <mergeCell ref="I28:I35"/>
    <mergeCell ref="I36:I43"/>
    <mergeCell ref="I44:I51"/>
    <mergeCell ref="I52:I59"/>
    <mergeCell ref="I63:I70"/>
    <mergeCell ref="I71:I78"/>
    <mergeCell ref="I79:I86"/>
    <mergeCell ref="I87:I94"/>
    <mergeCell ref="I95:I102"/>
    <mergeCell ref="N79:N86"/>
    <mergeCell ref="N87:N94"/>
    <mergeCell ref="N95:N102"/>
    <mergeCell ref="N103:N110"/>
    <mergeCell ref="N127:N134"/>
    <mergeCell ref="L79:L86"/>
    <mergeCell ref="L87:L94"/>
    <mergeCell ref="L95:L102"/>
    <mergeCell ref="N17:N19"/>
    <mergeCell ref="N20:N27"/>
    <mergeCell ref="N28:N35"/>
    <mergeCell ref="N36:N43"/>
    <mergeCell ref="N44:N51"/>
    <mergeCell ref="N52:N59"/>
    <mergeCell ref="N60:N62"/>
    <mergeCell ref="N63:N70"/>
    <mergeCell ref="N71:N78"/>
    <mergeCell ref="L103:L110"/>
    <mergeCell ref="L127:L134"/>
    <mergeCell ref="M17:M19"/>
    <mergeCell ref="M20:M27"/>
    <mergeCell ref="M28:M35"/>
    <mergeCell ref="M36:M43"/>
    <mergeCell ref="M44:M51"/>
    <mergeCell ref="M52:M59"/>
    <mergeCell ref="M60:M62"/>
    <mergeCell ref="M63:M70"/>
    <mergeCell ref="M71:M78"/>
    <mergeCell ref="M79:M86"/>
    <mergeCell ref="M87:M94"/>
    <mergeCell ref="M95:M102"/>
    <mergeCell ref="M103:M110"/>
    <mergeCell ref="M127:M134"/>
    <mergeCell ref="L17:L19"/>
    <mergeCell ref="L20:L27"/>
    <mergeCell ref="L28:L35"/>
    <mergeCell ref="L36:L43"/>
    <mergeCell ref="L44:L51"/>
    <mergeCell ref="L52:L59"/>
    <mergeCell ref="L60:L62"/>
    <mergeCell ref="L63:L70"/>
    <mergeCell ref="L71:L78"/>
    <mergeCell ref="C36:C43"/>
    <mergeCell ref="E36:E43"/>
    <mergeCell ref="F36:F43"/>
    <mergeCell ref="C71:C78"/>
    <mergeCell ref="E71:E78"/>
    <mergeCell ref="F71:F78"/>
    <mergeCell ref="C63:C70"/>
    <mergeCell ref="E63:E70"/>
    <mergeCell ref="F63:F70"/>
    <mergeCell ref="C52:C59"/>
    <mergeCell ref="E52:E59"/>
    <mergeCell ref="D71:D78"/>
    <mergeCell ref="D52:D59"/>
    <mergeCell ref="D63:D70"/>
    <mergeCell ref="C60:C62"/>
    <mergeCell ref="J63:J70"/>
    <mergeCell ref="J52:J59"/>
    <mergeCell ref="J60:J62"/>
    <mergeCell ref="D36:D43"/>
    <mergeCell ref="J36:J43"/>
    <mergeCell ref="F60:F62"/>
    <mergeCell ref="E60:E62"/>
    <mergeCell ref="D44:D51"/>
    <mergeCell ref="J79:J86"/>
    <mergeCell ref="J87:J94"/>
    <mergeCell ref="C79:C86"/>
    <mergeCell ref="E79:E86"/>
    <mergeCell ref="F79:F86"/>
    <mergeCell ref="D79:D86"/>
    <mergeCell ref="D87:D94"/>
    <mergeCell ref="C87:C94"/>
    <mergeCell ref="E87:E94"/>
    <mergeCell ref="F87:F94"/>
    <mergeCell ref="D103:D110"/>
    <mergeCell ref="J95:J102"/>
    <mergeCell ref="J103:J110"/>
    <mergeCell ref="D95:D102"/>
    <mergeCell ref="C103:C110"/>
    <mergeCell ref="E103:E110"/>
    <mergeCell ref="F103:F110"/>
    <mergeCell ref="C95:C102"/>
    <mergeCell ref="E95:E102"/>
    <mergeCell ref="F95:F102"/>
    <mergeCell ref="I103:I110"/>
    <mergeCell ref="E44:E51"/>
    <mergeCell ref="F44:F51"/>
    <mergeCell ref="J44:J51"/>
    <mergeCell ref="I61:I62"/>
    <mergeCell ref="G60:I60"/>
    <mergeCell ref="G61:G62"/>
    <mergeCell ref="F52:F59"/>
    <mergeCell ref="D60:D62"/>
    <mergeCell ref="H61:H62"/>
    <mergeCell ref="C14:K14"/>
    <mergeCell ref="C15:K15"/>
    <mergeCell ref="K20:K27"/>
    <mergeCell ref="K28:K35"/>
    <mergeCell ref="D17:D19"/>
    <mergeCell ref="C20:C27"/>
    <mergeCell ref="E20:E27"/>
    <mergeCell ref="F20:F27"/>
    <mergeCell ref="G18:G19"/>
    <mergeCell ref="C17:C19"/>
    <mergeCell ref="F17:F19"/>
    <mergeCell ref="G17:I17"/>
    <mergeCell ref="I18:I19"/>
    <mergeCell ref="E17:E19"/>
    <mergeCell ref="J17:J19"/>
    <mergeCell ref="C28:C35"/>
    <mergeCell ref="D28:D35"/>
    <mergeCell ref="E28:E35"/>
    <mergeCell ref="F28:F35"/>
    <mergeCell ref="J28:J35"/>
    <mergeCell ref="D20:D27"/>
    <mergeCell ref="J20:J27"/>
    <mergeCell ref="H18:H19"/>
    <mergeCell ref="I20:I27"/>
    <mergeCell ref="B17:B19"/>
    <mergeCell ref="B20:B27"/>
    <mergeCell ref="B28:B35"/>
    <mergeCell ref="B36:B43"/>
    <mergeCell ref="B44:B51"/>
    <mergeCell ref="K127:K134"/>
    <mergeCell ref="K71:K78"/>
    <mergeCell ref="K79:K86"/>
    <mergeCell ref="K87:K94"/>
    <mergeCell ref="K95:K102"/>
    <mergeCell ref="K103:K110"/>
    <mergeCell ref="K36:K43"/>
    <mergeCell ref="K44:K51"/>
    <mergeCell ref="K52:K59"/>
    <mergeCell ref="K60:K62"/>
    <mergeCell ref="K63:K70"/>
    <mergeCell ref="K17:K19"/>
    <mergeCell ref="C127:C134"/>
    <mergeCell ref="D127:D134"/>
    <mergeCell ref="E127:E134"/>
    <mergeCell ref="F127:F134"/>
    <mergeCell ref="J127:J134"/>
    <mergeCell ref="J71:J78"/>
    <mergeCell ref="C44:C51"/>
    <mergeCell ref="B87:B94"/>
    <mergeCell ref="B95:B102"/>
    <mergeCell ref="B103:B110"/>
    <mergeCell ref="B127:B134"/>
    <mergeCell ref="B52:B59"/>
    <mergeCell ref="B60:B62"/>
    <mergeCell ref="B63:B70"/>
    <mergeCell ref="B71:B78"/>
    <mergeCell ref="B79:B86"/>
    <mergeCell ref="B111:B118"/>
    <mergeCell ref="B119:B126"/>
    <mergeCell ref="D119:D126"/>
    <mergeCell ref="E119:E126"/>
    <mergeCell ref="F119:F126"/>
    <mergeCell ref="I119:I126"/>
    <mergeCell ref="J119:J126"/>
    <mergeCell ref="K119:K126"/>
    <mergeCell ref="C119:C126"/>
    <mergeCell ref="C111:C118"/>
    <mergeCell ref="D111:D118"/>
    <mergeCell ref="E111:E118"/>
    <mergeCell ref="F111:F118"/>
    <mergeCell ref="J111:J118"/>
    <mergeCell ref="K111:K118"/>
    <mergeCell ref="I111:I118"/>
  </mergeCells>
  <dataValidations count="1">
    <dataValidation type="list" allowBlank="1" showInputMessage="1" showErrorMessage="1" sqref="J20:J59 F20:F59 F63:F134 J63:J134" xr:uid="{00000000-0002-0000-0600-000000000000}">
      <formula1>"1,2,3"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1048570"/>
  <sheetViews>
    <sheetView topLeftCell="A8" zoomScaleNormal="70" workbookViewId="0">
      <selection activeCell="E16" sqref="E16"/>
    </sheetView>
  </sheetViews>
  <sheetFormatPr baseColWidth="10" defaultColWidth="11.42578125" defaultRowHeight="12.75" x14ac:dyDescent="0.2"/>
  <cols>
    <col min="1" max="1" width="2.42578125" style="38" customWidth="1"/>
    <col min="2" max="2" width="25.140625" style="38" customWidth="1"/>
    <col min="3" max="3" width="24.140625" style="38" customWidth="1"/>
    <col min="4" max="4" width="24.28515625" style="38" customWidth="1"/>
    <col min="5" max="5" width="34.85546875" style="38" customWidth="1"/>
    <col min="6" max="6" width="37.28515625" style="38" customWidth="1"/>
    <col min="7" max="7" width="22.85546875" style="38" customWidth="1"/>
    <col min="8" max="8" width="31.140625" style="38" customWidth="1"/>
    <col min="9" max="9" width="44.42578125" style="38" customWidth="1"/>
    <col min="10" max="10" width="2" style="65" customWidth="1"/>
    <col min="11" max="11" width="26.42578125" style="38" customWidth="1"/>
    <col min="12" max="12" width="28.7109375" style="38" customWidth="1"/>
    <col min="13" max="13" width="28.42578125" style="38" customWidth="1"/>
    <col min="14" max="14" width="50" style="38" customWidth="1"/>
    <col min="15" max="15" width="32.42578125" style="38" customWidth="1"/>
    <col min="16" max="16" width="28.42578125" style="38" customWidth="1"/>
    <col min="17" max="17" width="23.28515625" style="38" customWidth="1"/>
    <col min="18" max="18" width="22.140625" style="38" customWidth="1"/>
    <col min="19" max="19" width="18.28515625" style="38" customWidth="1"/>
    <col min="20" max="16384" width="11.42578125" style="38"/>
  </cols>
  <sheetData>
    <row r="1" spans="2:19" s="36" customFormat="1" ht="12.95" customHeight="1" x14ac:dyDescent="0.2">
      <c r="B1" s="34"/>
      <c r="C1" s="35"/>
      <c r="J1" s="63"/>
    </row>
    <row r="2" spans="2:19" s="36" customFormat="1" ht="12.95" customHeight="1" x14ac:dyDescent="0.2">
      <c r="B2" s="34"/>
      <c r="C2" s="35"/>
      <c r="J2" s="63"/>
    </row>
    <row r="3" spans="2:19" s="36" customFormat="1" ht="12.95" customHeight="1" thickBot="1" x14ac:dyDescent="0.25">
      <c r="B3" s="81"/>
      <c r="C3" s="82"/>
      <c r="D3" s="83"/>
      <c r="E3" s="83"/>
      <c r="F3" s="83"/>
      <c r="G3" s="83"/>
      <c r="H3" s="83"/>
      <c r="I3" s="83"/>
      <c r="J3" s="84"/>
      <c r="K3" s="83"/>
      <c r="L3" s="83"/>
    </row>
    <row r="4" spans="2:19" s="36" customFormat="1" ht="27.75" customHeight="1" thickBot="1" x14ac:dyDescent="0.25">
      <c r="B4" s="596" t="s">
        <v>286</v>
      </c>
      <c r="C4" s="597"/>
      <c r="D4" s="597"/>
      <c r="E4" s="597"/>
      <c r="F4" s="597"/>
      <c r="G4" s="597"/>
      <c r="H4" s="597"/>
      <c r="I4" s="597"/>
      <c r="J4" s="597"/>
      <c r="K4" s="597"/>
      <c r="L4" s="598"/>
    </row>
    <row r="5" spans="2:19" s="36" customFormat="1" ht="12.95" customHeight="1" thickBot="1" x14ac:dyDescent="0.25">
      <c r="B5" s="35"/>
      <c r="C5" s="35"/>
      <c r="J5" s="63"/>
    </row>
    <row r="6" spans="2:19" s="36" customFormat="1" ht="36.6" customHeight="1" thickBot="1" x14ac:dyDescent="0.25">
      <c r="B6" s="599" t="s">
        <v>22</v>
      </c>
      <c r="C6" s="600"/>
      <c r="D6" s="600" t="s">
        <v>5</v>
      </c>
      <c r="E6" s="600"/>
      <c r="F6" s="600" t="s">
        <v>23</v>
      </c>
      <c r="G6" s="604"/>
      <c r="H6" s="121"/>
      <c r="I6" s="121"/>
      <c r="J6" s="63"/>
    </row>
    <row r="7" spans="2:19" s="36" customFormat="1" ht="75.75" customHeight="1" x14ac:dyDescent="0.2">
      <c r="B7" s="601" t="s">
        <v>24</v>
      </c>
      <c r="C7" s="602"/>
      <c r="D7" s="603" t="s">
        <v>25</v>
      </c>
      <c r="E7" s="603"/>
      <c r="F7" s="603" t="s">
        <v>26</v>
      </c>
      <c r="G7" s="605"/>
      <c r="H7" s="122"/>
      <c r="I7" s="123">
        <v>1</v>
      </c>
      <c r="J7" s="63"/>
    </row>
    <row r="8" spans="2:19" s="36" customFormat="1" ht="57" customHeight="1" x14ac:dyDescent="0.2">
      <c r="B8" s="593" t="s">
        <v>27</v>
      </c>
      <c r="C8" s="594"/>
      <c r="D8" s="595" t="s">
        <v>28</v>
      </c>
      <c r="E8" s="595"/>
      <c r="F8" s="595" t="s">
        <v>287</v>
      </c>
      <c r="G8" s="606"/>
      <c r="H8" s="124" t="s">
        <v>288</v>
      </c>
      <c r="I8" s="123">
        <v>0.75</v>
      </c>
      <c r="J8" s="63"/>
    </row>
    <row r="9" spans="2:19" s="36" customFormat="1" ht="71.25" customHeight="1" x14ac:dyDescent="0.2">
      <c r="B9" s="612" t="s">
        <v>30</v>
      </c>
      <c r="C9" s="613"/>
      <c r="D9" s="595" t="s">
        <v>289</v>
      </c>
      <c r="E9" s="595"/>
      <c r="F9" s="595" t="s">
        <v>32</v>
      </c>
      <c r="G9" s="606"/>
      <c r="H9" s="125"/>
      <c r="I9" s="123">
        <v>0.5</v>
      </c>
      <c r="J9" s="63"/>
    </row>
    <row r="10" spans="2:19" s="36" customFormat="1" ht="97.5" customHeight="1" thickBot="1" x14ac:dyDescent="0.25">
      <c r="B10" s="607" t="s">
        <v>33</v>
      </c>
      <c r="C10" s="608"/>
      <c r="D10" s="609" t="s">
        <v>290</v>
      </c>
      <c r="E10" s="609"/>
      <c r="F10" s="609" t="s">
        <v>35</v>
      </c>
      <c r="G10" s="616"/>
      <c r="H10" s="125"/>
      <c r="I10" s="123">
        <v>0.25</v>
      </c>
      <c r="J10" s="63"/>
    </row>
    <row r="11" spans="2:19" s="36" customFormat="1" ht="26.25" customHeight="1" x14ac:dyDescent="0.2">
      <c r="B11" s="617" t="s">
        <v>291</v>
      </c>
      <c r="C11" s="617"/>
      <c r="D11" s="617"/>
      <c r="E11" s="617"/>
      <c r="F11" s="617"/>
      <c r="G11" s="617"/>
      <c r="H11" s="617"/>
      <c r="I11" s="617"/>
      <c r="J11" s="64"/>
      <c r="K11" s="37"/>
      <c r="L11" s="37"/>
      <c r="M11" s="37"/>
      <c r="N11" s="37"/>
    </row>
    <row r="12" spans="2:19" s="36" customFormat="1" ht="38.25" customHeight="1" thickBot="1" x14ac:dyDescent="0.25">
      <c r="B12" s="35"/>
      <c r="C12" s="35"/>
      <c r="J12" s="63"/>
    </row>
    <row r="13" spans="2:19" s="36" customFormat="1" ht="42.75" customHeight="1" x14ac:dyDescent="0.2">
      <c r="B13" s="618" t="s">
        <v>292</v>
      </c>
      <c r="C13" s="620" t="s">
        <v>293</v>
      </c>
      <c r="D13" s="621"/>
      <c r="E13" s="621"/>
      <c r="F13" s="622"/>
      <c r="G13" s="623" t="s">
        <v>294</v>
      </c>
      <c r="H13" s="614" t="s">
        <v>295</v>
      </c>
      <c r="I13" s="624" t="s">
        <v>296</v>
      </c>
      <c r="J13" s="63"/>
      <c r="K13" s="610" t="s">
        <v>297</v>
      </c>
      <c r="L13" s="610" t="s">
        <v>298</v>
      </c>
      <c r="M13" s="587" t="s">
        <v>299</v>
      </c>
      <c r="N13" s="584" t="s">
        <v>300</v>
      </c>
      <c r="O13" s="585"/>
      <c r="P13" s="585"/>
      <c r="Q13" s="585"/>
      <c r="R13" s="585"/>
      <c r="S13" s="586"/>
    </row>
    <row r="14" spans="2:19" s="36" customFormat="1" ht="48.75" customHeight="1" thickBot="1" x14ac:dyDescent="0.25">
      <c r="B14" s="619"/>
      <c r="C14" s="117" t="s">
        <v>301</v>
      </c>
      <c r="D14" s="117" t="s">
        <v>50</v>
      </c>
      <c r="E14" s="117" t="s">
        <v>302</v>
      </c>
      <c r="F14" s="118" t="s">
        <v>303</v>
      </c>
      <c r="G14" s="615"/>
      <c r="H14" s="615"/>
      <c r="I14" s="625"/>
      <c r="J14" s="63"/>
      <c r="K14" s="611"/>
      <c r="L14" s="611"/>
      <c r="M14" s="588"/>
      <c r="N14" s="119" t="s">
        <v>304</v>
      </c>
      <c r="O14" s="119" t="s">
        <v>305</v>
      </c>
      <c r="P14" s="119" t="s">
        <v>306</v>
      </c>
      <c r="Q14" s="119" t="s">
        <v>307</v>
      </c>
      <c r="R14" s="119" t="s">
        <v>308</v>
      </c>
      <c r="S14" s="120" t="s">
        <v>309</v>
      </c>
    </row>
    <row r="15" spans="2:19" s="36" customFormat="1" ht="99.75" customHeight="1" x14ac:dyDescent="0.2">
      <c r="B15" s="113">
        <f>+IF(ISTEXT(D15),J15,"")</f>
        <v>1</v>
      </c>
      <c r="C15" s="155" t="str">
        <f>+IFERROR(INDEX(Hoja1!$A$2:$A$82,MATCH(J15,Hoja1!$H$2:$H$82,0)),"")</f>
        <v>1.3</v>
      </c>
      <c r="D15" s="156" t="str">
        <f>IFERROR(VLOOKUP(C15,Hoja1!$A$2:$H$82,4,0),"")</f>
        <v>Ambiente de Control</v>
      </c>
      <c r="E15" s="156" t="str">
        <f>+IFERROR(VLOOKUP(C15,Hoja1!$A$1:$J$82,10,0),"")</f>
        <v>La entidad demuestra el compromiso con la integridad (valores) y principios del servicio público</v>
      </c>
      <c r="F15" s="156" t="str">
        <f>+IFERROR(VLOOKUP(C15,Hoja1!$A$1:$I$82,3,0),"")</f>
        <v xml:space="preserve"> Mecanismos frente a la detección y prevención del uso inadecuado de información privilegiada u otras situaciones que puedan implicar riesgos para la entidad</v>
      </c>
      <c r="G15" s="157">
        <f>+IFERROR(VLOOKUP(C15,Hoja1!$A$1:$K$82,11,0),"")</f>
        <v>3</v>
      </c>
      <c r="H15" s="158">
        <f>+IFERROR(VLOOKUP(C15,Hoja1!$A$1:$L$82,12,0),"")</f>
        <v>2</v>
      </c>
      <c r="I15" s="159" t="str">
        <f>+IF(OR(AND(G15=1,H15=1),AND(G15=1,H15=2),AND(G15=1,H15=3),G15="",H15=""),"No se encuentra presente  por lo tanto no esta funcionando, lo que hace que se requieran acciones dirigidas a fortalecer su diseño y puesta en marcha",IF(OR(AND(G15=2,H15=2),AND(G15=3,H15=1),AND(G15=3,H15=2),AND(G15=2,H15=1)),"Se encuentra presente y funcionando, pero requiere acciones dirigidas a fortalecer  o mejorar su diseño y/o ejecucion.",IF(AND(G15=2,H15=3),"Se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5" s="63">
        <v>1</v>
      </c>
      <c r="K15" s="111">
        <f>+VLOOKUP(C15,Hoja1!$A$1:$M$82,13,0)</f>
        <v>0.5</v>
      </c>
      <c r="L15" s="589">
        <f>+AVERAGE(K15:K38)</f>
        <v>0.91666666666666663</v>
      </c>
      <c r="M15" s="85"/>
      <c r="N15" s="86"/>
      <c r="O15" s="86"/>
      <c r="P15" s="86"/>
      <c r="Q15" s="86"/>
      <c r="R15" s="86"/>
      <c r="S15" s="86"/>
    </row>
    <row r="16" spans="2:19" s="36" customFormat="1" ht="99.75" customHeight="1" x14ac:dyDescent="0.2">
      <c r="B16" s="114">
        <f t="shared" ref="B16:B79" si="0">+IF(ISTEXT(D16),J16,"")</f>
        <v>2</v>
      </c>
      <c r="C16" s="160" t="str">
        <f>+IFERROR(INDEX(Hoja1!$A$2:$A$82,MATCH(J16,Hoja1!$H$2:$H$82,0)),"")</f>
        <v>4.1</v>
      </c>
      <c r="D16" s="161" t="str">
        <f>IFERROR(VLOOKUP(C16,Hoja1!$A$2:$H$82,4,0),"")</f>
        <v>Ambiente de Control</v>
      </c>
      <c r="E16" s="161" t="str">
        <f>+IFERROR(VLOOKUP(C16,Hoja1!$A$1:$J$82,10,0),"")</f>
        <v>Compromiso con la competencia de todo el personal, por lo que la gestión del talento humano tiene un carácter estratégico con el despliegue de actividades clave para todo el ciclo de vida del servidor público –ingreso, permanencia y retiro.</v>
      </c>
      <c r="F16" s="161" t="str">
        <f>+IFERROR(VLOOKUP(C16,Hoja1!$A$1:$I$82,3,0),"")</f>
        <v xml:space="preserve"> Evaluación de la Planeación Estratégica del Talento Humano</v>
      </c>
      <c r="G16" s="160">
        <f>+IFERROR(VLOOKUP(C16,Hoja1!$A$1:$K$82,11,0),"")</f>
        <v>3</v>
      </c>
      <c r="H16" s="162">
        <f>+IFERROR(VLOOKUP(C16,Hoja1!$A$1:$L$82,12,0),"")</f>
        <v>2</v>
      </c>
      <c r="I16" s="159" t="str">
        <f t="shared" ref="I16:I79" si="1">+IF(OR(AND(G16=1,H16=1),AND(G16=1,H16=2),AND(G16=1,H16=3),G16="",H16=""),"No se encuentra presente  por lo tanto no esta funcionando, lo que hace que se requieran acciones dirigidas a fortalecer su diseño y puesta en marcha",IF(OR(AND(G16=2,H16=2),AND(G16=3,H16=1),AND(G16=3,H16=2),AND(G16=2,H16=1)),"Se encuentra presente y funcionando, pero requiere acciones dirigidas a fortalecer  o mejorar su diseño y/o ejecucion.",IF(AND(G16=2,H16=3),"Se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funcionando, pero requiere acciones dirigidas a fortalecer  o mejorar su diseño y/o ejecucion.</v>
      </c>
      <c r="J16" s="63">
        <v>2</v>
      </c>
      <c r="K16" s="111">
        <f>+VLOOKUP(C16,Hoja1!$A$1:$M$82,13,0)</f>
        <v>0.5</v>
      </c>
      <c r="L16" s="590"/>
      <c r="M16" s="60"/>
      <c r="N16" s="40"/>
      <c r="O16" s="40"/>
      <c r="P16" s="40"/>
      <c r="Q16" s="40"/>
      <c r="R16" s="40"/>
      <c r="S16" s="40"/>
    </row>
    <row r="17" spans="2:19" s="36" customFormat="1" ht="99.75" customHeight="1" x14ac:dyDescent="0.2">
      <c r="B17" s="114">
        <f t="shared" si="0"/>
        <v>3</v>
      </c>
      <c r="C17" s="160" t="str">
        <f>+IFERROR(INDEX(Hoja1!$A$2:$A$82,MATCH(J17,Hoja1!$H$2:$H$82,0)),"")</f>
        <v>4.3</v>
      </c>
      <c r="D17" s="161" t="str">
        <f>IFERROR(VLOOKUP(C17,Hoja1!$A$2:$H$82,4,0),"")</f>
        <v>Ambiente de Control</v>
      </c>
      <c r="E17" s="161" t="str">
        <f>+IFERROR(VLOOKUP(C17,Hoja1!$A$1:$J$82,10,0),"")</f>
        <v>Compromiso con la competencia de todo el personal, por lo que la gestión del talento humano tiene un carácter estratégico con el despliegue de actividades clave para todo el ciclo de vida del servidor público –ingreso, permanencia y retiro.</v>
      </c>
      <c r="F17" s="161" t="str">
        <f>+IFERROR(VLOOKUP(C17,Hoja1!$A$1:$I$82,3,0),"")</f>
        <v xml:space="preserve"> Evaluación de las actividades relacionadas con la permanencia del personal</v>
      </c>
      <c r="G17" s="160">
        <f>+IFERROR(VLOOKUP(C17,Hoja1!$A$1:$K$82,11,0),"")</f>
        <v>3</v>
      </c>
      <c r="H17" s="162">
        <f>+IFERROR(VLOOKUP(C17,Hoja1!$A$1:$L$82,12,0),"")</f>
        <v>2</v>
      </c>
      <c r="I17" s="159" t="str">
        <f t="shared" si="1"/>
        <v>Se encuentra presente y funcionando, pero requiere acciones dirigidas a fortalecer  o mejorar su diseño y/o ejecucion.</v>
      </c>
      <c r="J17" s="63">
        <v>3</v>
      </c>
      <c r="K17" s="111">
        <f>+VLOOKUP(C17,Hoja1!$A$1:$M$82,13,0)</f>
        <v>0.5</v>
      </c>
      <c r="L17" s="590"/>
      <c r="M17" s="60"/>
      <c r="N17" s="40"/>
      <c r="O17" s="40"/>
      <c r="P17" s="40"/>
      <c r="Q17" s="40"/>
      <c r="R17" s="40"/>
      <c r="S17" s="40"/>
    </row>
    <row r="18" spans="2:19" s="36" customFormat="1" ht="99.75" customHeight="1" x14ac:dyDescent="0.2">
      <c r="B18" s="115">
        <f t="shared" si="0"/>
        <v>4</v>
      </c>
      <c r="C18" s="160" t="str">
        <f>+IFERROR(INDEX(Hoja1!$A$2:$A$82,MATCH(J18,Hoja1!$H$2:$H$82,0)),"")</f>
        <v>4.6</v>
      </c>
      <c r="D18" s="161" t="str">
        <f>IFERROR(VLOOKUP(C18,Hoja1!$A$2:$H$82,4,0),"")</f>
        <v>Ambiente de Control</v>
      </c>
      <c r="E18" s="161" t="str">
        <f>+IFERROR(VLOOKUP(C18,Hoja1!$A$1:$J$82,10,0),"")</f>
        <v>Compromiso con la competencia de todo el personal, por lo que la gestión del talento humano tiene un carácter estratégico con el despliegue de actividades clave para todo el ciclo de vida del servidor público –ingreso, permanencia y retiro.</v>
      </c>
      <c r="F18" s="161" t="str">
        <f>+IFERROR(VLOOKUP(C18,Hoja1!$A$1:$I$82,3,0),"")</f>
        <v xml:space="preserve"> Evaluar el impacto del Plan Institucional de Capacitación - PI</v>
      </c>
      <c r="G18" s="160">
        <f>+IFERROR(VLOOKUP(C18,Hoja1!$A$1:$K$82,11,0),"")</f>
        <v>3</v>
      </c>
      <c r="H18" s="162">
        <f>+IFERROR(VLOOKUP(C18,Hoja1!$A$1:$L$82,12,0),"")</f>
        <v>2</v>
      </c>
      <c r="I18" s="159" t="str">
        <f t="shared" si="1"/>
        <v>Se encuentra presente y funcionando, pero requiere acciones dirigidas a fortalecer  o mejorar su diseño y/o ejecucion.</v>
      </c>
      <c r="J18" s="63">
        <v>4</v>
      </c>
      <c r="K18" s="111">
        <f>+VLOOKUP(C18,Hoja1!$A$1:$M$82,13,0)</f>
        <v>0.5</v>
      </c>
      <c r="L18" s="590"/>
      <c r="M18" s="60"/>
      <c r="N18" s="40"/>
      <c r="O18" s="40"/>
      <c r="P18" s="40"/>
      <c r="Q18" s="40"/>
      <c r="R18" s="40"/>
      <c r="S18" s="40"/>
    </row>
    <row r="19" spans="2:19" s="36" customFormat="1" ht="99.75" customHeight="1" x14ac:dyDescent="0.2">
      <c r="B19" s="114">
        <f t="shared" si="0"/>
        <v>5</v>
      </c>
      <c r="C19" s="160" t="str">
        <f>+IFERROR(INDEX(Hoja1!$A$2:$A$82,MATCH(J19,Hoja1!$H$2:$H$82,0)),"")</f>
        <v>1.1</v>
      </c>
      <c r="D19" s="161" t="str">
        <f>IFERROR(VLOOKUP(C19,Hoja1!$A$2:$H$82,4,0),"")</f>
        <v>Ambiente de Control</v>
      </c>
      <c r="E19" s="161" t="str">
        <f>+IFERROR(VLOOKUP(C19,Hoja1!$A$1:$J$82,10,0),"")</f>
        <v>La entidad demuestra el compromiso con la integridad (valores) y principios del servicio público</v>
      </c>
      <c r="F19" s="161" t="str">
        <f>+IFERROR(VLOOKUP(C19,Hoja1!$A$1:$I$82,3,0),"")</f>
        <v xml:space="preserve"> Aplicación del Código de Integridad. (incluye análisis de desviaciones, convivencia laboral, temas disciplinarios internos, quejas o denuncias sobres los servidores de la entidad, u otros temas relacionados)</v>
      </c>
      <c r="G19" s="160">
        <f>+IFERROR(VLOOKUP(C19,Hoja1!$A$1:$K$82,11,0),"")</f>
        <v>3</v>
      </c>
      <c r="H19" s="162">
        <f>+IFERROR(VLOOKUP(C19,Hoja1!$A$1:$L$82,12,0),"")</f>
        <v>3</v>
      </c>
      <c r="I19" s="159" t="str">
        <f t="shared" si="1"/>
        <v>Se encuentra presente y funciona correctamente, por lo tanto se requiere acciones o actividades  dirigidas a su mantenimiento dentro del marco de las lineas de defensa.</v>
      </c>
      <c r="J19" s="63">
        <v>5</v>
      </c>
      <c r="K19" s="111">
        <f>+VLOOKUP(C19,Hoja1!$A$1:$M$82,13,0)</f>
        <v>1</v>
      </c>
      <c r="L19" s="590"/>
      <c r="M19" s="60"/>
      <c r="N19" s="40"/>
      <c r="O19" s="40"/>
      <c r="P19" s="40"/>
      <c r="Q19" s="40"/>
      <c r="R19" s="40"/>
      <c r="S19" s="40"/>
    </row>
    <row r="20" spans="2:19" s="36" customFormat="1" ht="99.75" customHeight="1" x14ac:dyDescent="0.2">
      <c r="B20" s="115">
        <f t="shared" si="0"/>
        <v>6</v>
      </c>
      <c r="C20" s="160" t="str">
        <f>+IFERROR(INDEX(Hoja1!$A$2:$A$82,MATCH(J20,Hoja1!$H$2:$H$82,0)),"")</f>
        <v>1.2</v>
      </c>
      <c r="D20" s="161" t="str">
        <f>IFERROR(VLOOKUP(C20,Hoja1!$A$2:$H$82,4,0),"")</f>
        <v>Ambiente de Control</v>
      </c>
      <c r="E20" s="161" t="str">
        <f>+IFERROR(VLOOKUP(C20,Hoja1!$A$1:$J$82,10,0),"")</f>
        <v>La entidad demuestra el compromiso con la integridad (valores) y principios del servicio público</v>
      </c>
      <c r="F20" s="161" t="str">
        <f>+IFERROR(VLOOKUP(C20,Hoja1!$A$1:$I$82,3,0),"")</f>
        <v xml:space="preserve"> Mecanismos para el manejo de conflictos de interés.</v>
      </c>
      <c r="G20" s="160">
        <f>+IFERROR(VLOOKUP(C20,Hoja1!$A$1:$K$82,11,0),"")</f>
        <v>3</v>
      </c>
      <c r="H20" s="162">
        <f>+IFERROR(VLOOKUP(C20,Hoja1!$A$1:$L$82,12,0),"")</f>
        <v>3</v>
      </c>
      <c r="I20" s="159" t="str">
        <f t="shared" si="1"/>
        <v>Se encuentra presente y funciona correctamente, por lo tanto se requiere acciones o actividades  dirigidas a su mantenimiento dentro del marco de las lineas de defensa.</v>
      </c>
      <c r="J20" s="63">
        <v>6</v>
      </c>
      <c r="K20" s="111">
        <f>+VLOOKUP(C20,Hoja1!$A$1:$M$82,13,0)</f>
        <v>1</v>
      </c>
      <c r="L20" s="590"/>
      <c r="M20" s="60"/>
      <c r="N20" s="40"/>
      <c r="O20" s="40"/>
      <c r="P20" s="40"/>
      <c r="Q20" s="40"/>
      <c r="R20" s="40"/>
      <c r="S20" s="40"/>
    </row>
    <row r="21" spans="2:19" s="36" customFormat="1" ht="99.75" customHeight="1" x14ac:dyDescent="0.2">
      <c r="B21" s="114">
        <f t="shared" si="0"/>
        <v>7</v>
      </c>
      <c r="C21" s="160" t="str">
        <f>+IFERROR(INDEX(Hoja1!$A$2:$A$82,MATCH(J21,Hoja1!$H$2:$H$82,0)),"")</f>
        <v>1.4</v>
      </c>
      <c r="D21" s="161" t="str">
        <f>IFERROR(VLOOKUP(C21,Hoja1!$A$2:$H$82,4,0),"")</f>
        <v>Ambiente de Control</v>
      </c>
      <c r="E21" s="161" t="str">
        <f>+IFERROR(VLOOKUP(C21,Hoja1!$A$1:$J$82,10,0),"")</f>
        <v>La entidad demuestra el compromiso con la integridad (valores) y principios del servicio público</v>
      </c>
      <c r="F21" s="161" t="str">
        <f>+IFERROR(VLOOKUP(C21,Hoja1!$A$1:$I$82,3,0),"")</f>
        <v xml:space="preserve"> La evaluación de las acciones transversales de integridad, mediante el monitoreo permanente de los riesgos de corrupción.</v>
      </c>
      <c r="G21" s="160">
        <f>+IFERROR(VLOOKUP(C21,Hoja1!$A$1:$K$82,11,0),"")</f>
        <v>3</v>
      </c>
      <c r="H21" s="162">
        <f>+IFERROR(VLOOKUP(C21,Hoja1!$A$1:$L$82,12,0),"")</f>
        <v>3</v>
      </c>
      <c r="I21" s="159" t="str">
        <f t="shared" si="1"/>
        <v>Se encuentra presente y funciona correctamente, por lo tanto se requiere acciones o actividades  dirigidas a su mantenimiento dentro del marco de las lineas de defensa.</v>
      </c>
      <c r="J21" s="63">
        <v>7</v>
      </c>
      <c r="K21" s="111">
        <f>+VLOOKUP(C21,Hoja1!$A$1:$M$82,13,0)</f>
        <v>1</v>
      </c>
      <c r="L21" s="590"/>
      <c r="M21" s="60"/>
      <c r="N21" s="40"/>
      <c r="O21" s="40"/>
      <c r="P21" s="40"/>
      <c r="Q21" s="40"/>
      <c r="R21" s="40"/>
      <c r="S21" s="40"/>
    </row>
    <row r="22" spans="2:19" s="36" customFormat="1" ht="99.75" customHeight="1" x14ac:dyDescent="0.2">
      <c r="B22" s="114">
        <f t="shared" si="0"/>
        <v>8</v>
      </c>
      <c r="C22" s="160" t="str">
        <f>+IFERROR(INDEX(Hoja1!$A$2:$A$82,MATCH(J22,Hoja1!$H$2:$H$82,0)),"")</f>
        <v>1.5</v>
      </c>
      <c r="D22" s="161" t="str">
        <f>IFERROR(VLOOKUP(C22,Hoja1!$A$2:$H$82,4,0),"")</f>
        <v>Ambiente de Control</v>
      </c>
      <c r="E22" s="161" t="str">
        <f>+IFERROR(VLOOKUP(C22,Hoja1!$A$1:$J$82,10,0),"")</f>
        <v>La entidad demuestra el compromiso con la integridad (valores) y principios del servicio público</v>
      </c>
      <c r="F22" s="161" t="str">
        <f>+IFERROR(VLOOKUP(C22,Hoja1!$A$1:$I$82,3,0),"")</f>
        <v xml:space="preserve"> Análisis sobre viabilidad para el establecimiento de una línea de denuncia interna sobre situaciones irregulares o posibles incumplimientos al código de integridad.
NOTA: Si la entidad ya cuenta con esta línea en funcionamiento, establecezca si ha aportado para la mejora de los mapas de riesgos o bien en otros ámbitos organizacionales.</v>
      </c>
      <c r="G22" s="160">
        <f>+IFERROR(VLOOKUP(C22,Hoja1!$A$1:$K$82,11,0),"")</f>
        <v>3</v>
      </c>
      <c r="H22" s="162">
        <f>+IFERROR(VLOOKUP(C22,Hoja1!$A$1:$L$82,12,0),"")</f>
        <v>3</v>
      </c>
      <c r="I22" s="159" t="str">
        <f t="shared" si="1"/>
        <v>Se encuentra presente y funciona correctamente, por lo tanto se requiere acciones o actividades  dirigidas a su mantenimiento dentro del marco de las lineas de defensa.</v>
      </c>
      <c r="J22" s="63">
        <v>8</v>
      </c>
      <c r="K22" s="111">
        <f>+VLOOKUP(C22,Hoja1!$A$1:$M$82,13,0)</f>
        <v>1</v>
      </c>
      <c r="L22" s="590"/>
      <c r="M22" s="60"/>
      <c r="N22" s="40"/>
      <c r="O22" s="40"/>
      <c r="P22" s="40"/>
      <c r="Q22" s="40"/>
      <c r="R22" s="40"/>
      <c r="S22" s="40"/>
    </row>
    <row r="23" spans="2:19" s="36" customFormat="1" ht="99.75" customHeight="1" x14ac:dyDescent="0.2">
      <c r="B23" s="114">
        <f t="shared" si="0"/>
        <v>9</v>
      </c>
      <c r="C23" s="160" t="str">
        <f>+IFERROR(INDEX(Hoja1!$A$2:$A$82,MATCH(J23,Hoja1!$H$2:$H$82,0)),"")</f>
        <v>2.1</v>
      </c>
      <c r="D23" s="161" t="str">
        <f>IFERROR(VLOOKUP(C23,Hoja1!$A$2:$H$82,4,0),"")</f>
        <v>Ambiente de Control</v>
      </c>
      <c r="E23" s="161" t="str">
        <f>+IFERROR(VLOOKUP(C23,Hoja1!$A$1:$J$82,10,0),"")</f>
        <v xml:space="preserve">Aplicación de mecanismos para ejercer una adecuada supervisión del Sistema de Control Interno </v>
      </c>
      <c r="F23" s="161" t="str">
        <f>+IFERROR(VLOOKUP(C23,Hoja1!$A$1:$I$82,3,0),"")</f>
        <v xml:space="preserve"> Creación o actualización del Comité Institucional de Coordinación de Control Interno (incluye ajustes en periodicidad para reunión, articulación con el Comité Institucioanl de Gestión y Desempeño)</v>
      </c>
      <c r="G23" s="160">
        <f>+IFERROR(VLOOKUP(C23,Hoja1!$A$1:$K$82,11,0),"")</f>
        <v>3</v>
      </c>
      <c r="H23" s="162">
        <f>+IFERROR(VLOOKUP(C23,Hoja1!$A$1:$L$82,12,0),"")</f>
        <v>3</v>
      </c>
      <c r="I23" s="159" t="str">
        <f t="shared" si="1"/>
        <v>Se encuentra presente y funciona correctamente, por lo tanto se requiere acciones o actividades  dirigidas a su mantenimiento dentro del marco de las lineas de defensa.</v>
      </c>
      <c r="J23" s="63">
        <v>9</v>
      </c>
      <c r="K23" s="111">
        <f>+VLOOKUP(C23,Hoja1!$A$1:$M$82,13,0)</f>
        <v>1</v>
      </c>
      <c r="L23" s="590"/>
      <c r="M23" s="60"/>
      <c r="N23" s="40"/>
      <c r="O23" s="40"/>
      <c r="P23" s="40"/>
      <c r="Q23" s="40"/>
      <c r="R23" s="40"/>
      <c r="S23" s="40"/>
    </row>
    <row r="24" spans="2:19" s="36" customFormat="1" ht="99.75" customHeight="1" x14ac:dyDescent="0.2">
      <c r="B24" s="115">
        <f t="shared" si="0"/>
        <v>10</v>
      </c>
      <c r="C24" s="160" t="str">
        <f>+IFERROR(INDEX(Hoja1!$A$2:$A$82,MATCH(J24,Hoja1!$H$2:$H$82,0)),"")</f>
        <v>2.2</v>
      </c>
      <c r="D24" s="161" t="str">
        <f>IFERROR(VLOOKUP(C24,Hoja1!$A$2:$H$82,4,0),"")</f>
        <v>Ambiente de Control</v>
      </c>
      <c r="E24" s="161" t="str">
        <f>+IFERROR(VLOOKUP(C24,Hoja1!$A$1:$J$82,10,0),"")</f>
        <v xml:space="preserve">Aplicación de mecanismos para ejercer una adecuada supervisión del Sistema de Control Interno </v>
      </c>
      <c r="F24" s="161" t="str">
        <f>+IFERROR(VLOOKUP(C24,Hoja1!$A$1:$I$82,3,0),"")</f>
        <v xml:space="preserve"> Definición y documentación del Esquema de Líneas de Defens</v>
      </c>
      <c r="G24" s="160">
        <f>+IFERROR(VLOOKUP(C24,Hoja1!$A$1:$K$82,11,0),"")</f>
        <v>3</v>
      </c>
      <c r="H24" s="162">
        <f>+IFERROR(VLOOKUP(C24,Hoja1!$A$1:$L$82,12,0),"")</f>
        <v>3</v>
      </c>
      <c r="I24" s="159" t="str">
        <f t="shared" si="1"/>
        <v>Se encuentra presente y funciona correctamente, por lo tanto se requiere acciones o actividades  dirigidas a su mantenimiento dentro del marco de las lineas de defensa.</v>
      </c>
      <c r="J24" s="63">
        <v>10</v>
      </c>
      <c r="K24" s="111">
        <f>+VLOOKUP(C24,Hoja1!$A$1:$M$82,13,0)</f>
        <v>1</v>
      </c>
      <c r="L24" s="590"/>
      <c r="M24" s="60"/>
      <c r="N24" s="40"/>
      <c r="O24" s="40"/>
      <c r="P24" s="40"/>
      <c r="Q24" s="40"/>
      <c r="R24" s="40"/>
      <c r="S24" s="40"/>
    </row>
    <row r="25" spans="2:19" s="36" customFormat="1" ht="99.75" customHeight="1" x14ac:dyDescent="0.2">
      <c r="B25" s="114">
        <f t="shared" si="0"/>
        <v>11</v>
      </c>
      <c r="C25" s="160" t="str">
        <f>+IFERROR(INDEX(Hoja1!$A$2:$A$82,MATCH(J25,Hoja1!$H$2:$H$82,0)),"")</f>
        <v>2.3</v>
      </c>
      <c r="D25" s="161" t="str">
        <f>IFERROR(VLOOKUP(C25,Hoja1!$A$2:$H$82,4,0),"")</f>
        <v>Ambiente de Control</v>
      </c>
      <c r="E25" s="161" t="str">
        <f>+IFERROR(VLOOKUP(C25,Hoja1!$A$1:$J$82,10,0),"")</f>
        <v xml:space="preserve">Aplicación de mecanismos para ejercer una adecuada supervisión del Sistema de Control Interno </v>
      </c>
      <c r="F25" s="161" t="str">
        <f>+IFERROR(VLOOKUP(C25,Hoja1!$A$1:$I$82,3,0),"")</f>
        <v xml:space="preserve"> Definición de líneas de reporte en temas clave para la toma de decisiones, atendiendo el Esquema de Líneas de Defens</v>
      </c>
      <c r="G25" s="160">
        <f>+IFERROR(VLOOKUP(C25,Hoja1!$A$1:$K$82,11,0),"")</f>
        <v>3</v>
      </c>
      <c r="H25" s="162">
        <f>+IFERROR(VLOOKUP(C25,Hoja1!$A$1:$L$82,12,0),"")</f>
        <v>3</v>
      </c>
      <c r="I25" s="159" t="str">
        <f t="shared" si="1"/>
        <v>Se encuentra presente y funciona correctamente, por lo tanto se requiere acciones o actividades  dirigidas a su mantenimiento dentro del marco de las lineas de defensa.</v>
      </c>
      <c r="J25" s="63">
        <v>11</v>
      </c>
      <c r="K25" s="111">
        <f>+VLOOKUP(C25,Hoja1!$A$1:$M$82,13,0)</f>
        <v>1</v>
      </c>
      <c r="L25" s="590"/>
      <c r="M25" s="60"/>
      <c r="N25" s="40"/>
      <c r="O25" s="40"/>
      <c r="P25" s="40"/>
      <c r="Q25" s="40"/>
      <c r="R25" s="40"/>
      <c r="S25" s="40"/>
    </row>
    <row r="26" spans="2:19" s="36" customFormat="1" ht="99.75" customHeight="1" x14ac:dyDescent="0.2">
      <c r="B26" s="115">
        <f t="shared" si="0"/>
        <v>12</v>
      </c>
      <c r="C26" s="160" t="str">
        <f>+IFERROR(INDEX(Hoja1!$A$2:$A$82,MATCH(J26,Hoja1!$H$2:$H$82,0)),"")</f>
        <v>3.1</v>
      </c>
      <c r="D26" s="161" t="str">
        <f>IFERROR(VLOOKUP(C26,Hoja1!$A$2:$H$82,4,0),"")</f>
        <v>Ambiente de Control</v>
      </c>
      <c r="E26" s="161" t="str">
        <f>+IFERROR(VLOOKUP(C26,Hoja1!$A$1:$J$82,10,0),"")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6" s="161" t="str">
        <f>+IFERROR(VLOOKUP(C26,Hoja1!$A$1:$I$82,3,0),"")</f>
        <v xml:space="preserve"> Definición y evaluación de la Política de Administración del Riesgo (Acorde con lineamientos de la Guía para la Administración del Riesgo de Gestión y Corrupción y Diseño de Controles en Entidades Públicas).  La evaluación debe considerar su aplicación en la entidad, cambios en el entorno que puedan defnir ajustes, dificultades para su desarrollo</v>
      </c>
      <c r="G26" s="160">
        <f>+IFERROR(VLOOKUP(C26,Hoja1!$A$1:$K$82,11,0),"")</f>
        <v>3</v>
      </c>
      <c r="H26" s="162">
        <f>+IFERROR(VLOOKUP(C26,Hoja1!$A$1:$L$82,12,0),"")</f>
        <v>3</v>
      </c>
      <c r="I26" s="159" t="str">
        <f t="shared" si="1"/>
        <v>Se encuentra presente y funciona correctamente, por lo tanto se requiere acciones o actividades  dirigidas a su mantenimiento dentro del marco de las lineas de defensa.</v>
      </c>
      <c r="J26" s="63">
        <v>12</v>
      </c>
      <c r="K26" s="111">
        <f>+VLOOKUP(C26,Hoja1!$A$1:$M$82,13,0)</f>
        <v>1</v>
      </c>
      <c r="L26" s="590"/>
      <c r="M26" s="60"/>
      <c r="N26" s="40"/>
      <c r="O26" s="40"/>
      <c r="P26" s="40"/>
      <c r="Q26" s="40"/>
      <c r="R26" s="40"/>
      <c r="S26" s="40"/>
    </row>
    <row r="27" spans="2:19" s="36" customFormat="1" ht="99.75" customHeight="1" x14ac:dyDescent="0.2">
      <c r="B27" s="114">
        <f t="shared" si="0"/>
        <v>13</v>
      </c>
      <c r="C27" s="160" t="str">
        <f>+IFERROR(INDEX(Hoja1!$A$2:$A$82,MATCH(J27,Hoja1!$H$2:$H$82,0)),"")</f>
        <v>3.2</v>
      </c>
      <c r="D27" s="161" t="str">
        <f>IFERROR(VLOOKUP(C27,Hoja1!$A$2:$H$82,4,0),"")</f>
        <v>Ambiente de Control</v>
      </c>
      <c r="E27" s="161" t="str">
        <f>+IFERROR(VLOOKUP(C27,Hoja1!$A$1:$J$82,10,0),"")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7" s="161" t="str">
        <f>+IFERROR(VLOOKUP(C27,Hoja1!$A$1:$I$82,3,0),"")</f>
        <v xml:space="preserve"> La Alta Dirección frente a la política de Administración del Riesgo definen los niveles de aceptación del riesgo, teniendo en cuenta cada uno de los objetivos establecidos.</v>
      </c>
      <c r="G27" s="160">
        <f>+IFERROR(VLOOKUP(C27,Hoja1!$A$1:$K$82,11,0),"")</f>
        <v>3</v>
      </c>
      <c r="H27" s="162">
        <f>+IFERROR(VLOOKUP(C27,Hoja1!$A$1:$L$82,12,0),"")</f>
        <v>3</v>
      </c>
      <c r="I27" s="159" t="str">
        <f t="shared" si="1"/>
        <v>Se encuentra presente y funciona correctamente, por lo tanto se requiere acciones o actividades  dirigidas a su mantenimiento dentro del marco de las lineas de defensa.</v>
      </c>
      <c r="J27" s="63">
        <v>13</v>
      </c>
      <c r="K27" s="111">
        <f>+VLOOKUP(C27,Hoja1!$A$1:$M$82,13,0)</f>
        <v>1</v>
      </c>
      <c r="L27" s="590"/>
      <c r="M27" s="60"/>
      <c r="N27" s="40"/>
      <c r="O27" s="40"/>
      <c r="P27" s="40"/>
      <c r="Q27" s="40"/>
      <c r="R27" s="40"/>
      <c r="S27" s="40"/>
    </row>
    <row r="28" spans="2:19" s="36" customFormat="1" ht="99.75" customHeight="1" x14ac:dyDescent="0.2">
      <c r="B28" s="114">
        <f t="shared" si="0"/>
        <v>14</v>
      </c>
      <c r="C28" s="160" t="str">
        <f>+IFERROR(INDEX(Hoja1!$A$2:$A$82,MATCH(J28,Hoja1!$H$2:$H$82,0)),"")</f>
        <v>3.3</v>
      </c>
      <c r="D28" s="161" t="str">
        <f>IFERROR(VLOOKUP(C28,Hoja1!$A$2:$H$82,4,0),"")</f>
        <v>Ambiente de Control</v>
      </c>
      <c r="E28" s="161" t="str">
        <f>+IFERROR(VLOOKUP(C28,Hoja1!$A$1:$J$82,10,0),"")</f>
        <v>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v>
      </c>
      <c r="F28" s="161" t="str">
        <f>+IFERROR(VLOOKUP(C28,Hoja1!$A$1:$I$82,3,0),"")</f>
        <v xml:space="preserve"> Evaluación de la planeación estratégica, considerando alertas frente a posibles incumplimientos, necesidades de recursos, cambios en el entorno que puedan afectar su desarrollo, entre otros aspectos que garanticen de forma razonable su cumplimiento</v>
      </c>
      <c r="G28" s="160">
        <f>+IFERROR(VLOOKUP(C28,Hoja1!$A$1:$K$82,11,0),"")</f>
        <v>3</v>
      </c>
      <c r="H28" s="162">
        <f>+IFERROR(VLOOKUP(C28,Hoja1!$A$1:$L$82,12,0),"")</f>
        <v>3</v>
      </c>
      <c r="I28" s="159" t="str">
        <f t="shared" si="1"/>
        <v>Se encuentra presente y funciona correctamente, por lo tanto se requiere acciones o actividades  dirigidas a su mantenimiento dentro del marco de las lineas de defensa.</v>
      </c>
      <c r="J28" s="63">
        <v>14</v>
      </c>
      <c r="K28" s="111">
        <f>+VLOOKUP(C28,Hoja1!$A$1:$M$82,13,0)</f>
        <v>1</v>
      </c>
      <c r="L28" s="590"/>
      <c r="M28" s="60"/>
      <c r="N28" s="40"/>
      <c r="O28" s="40"/>
      <c r="P28" s="40"/>
      <c r="Q28" s="40"/>
      <c r="R28" s="40"/>
      <c r="S28" s="40"/>
    </row>
    <row r="29" spans="2:19" s="36" customFormat="1" ht="99.75" customHeight="1" x14ac:dyDescent="0.2">
      <c r="B29" s="114">
        <f t="shared" si="0"/>
        <v>15</v>
      </c>
      <c r="C29" s="160" t="str">
        <f>+IFERROR(INDEX(Hoja1!$A$2:$A$82,MATCH(J29,Hoja1!$H$2:$H$82,0)),"")</f>
        <v>4.2</v>
      </c>
      <c r="D29" s="161" t="str">
        <f>IFERROR(VLOOKUP(C29,Hoja1!$A$2:$H$82,4,0),"")</f>
        <v>Ambiente de Control</v>
      </c>
      <c r="E29" s="161" t="str">
        <f>+IFERROR(VLOOKUP(C29,Hoja1!$A$1:$J$82,10,0),"")</f>
        <v>Compromiso con la competencia de todo el personal, por lo que la gestión del talento humano tiene un carácter estratégico con el despliegue de actividades clave para todo el ciclo de vida del servidor público –ingreso, permanencia y retiro.</v>
      </c>
      <c r="F29" s="161" t="str">
        <f>+IFERROR(VLOOKUP(C29,Hoja1!$A$1:$I$82,3,0),"")</f>
        <v xml:space="preserve"> Evaluación de las actividades relacionadas con el Ingreso del personal</v>
      </c>
      <c r="G29" s="160">
        <f>+IFERROR(VLOOKUP(C29,Hoja1!$A$1:$K$82,11,0),"")</f>
        <v>3</v>
      </c>
      <c r="H29" s="162">
        <f>+IFERROR(VLOOKUP(C29,Hoja1!$A$1:$L$82,12,0),"")</f>
        <v>3</v>
      </c>
      <c r="I29" s="159" t="str">
        <f t="shared" si="1"/>
        <v>Se encuentra presente y funciona correctamente, por lo tanto se requiere acciones o actividades  dirigidas a su mantenimiento dentro del marco de las lineas de defensa.</v>
      </c>
      <c r="J29" s="63">
        <v>15</v>
      </c>
      <c r="K29" s="111">
        <f>+VLOOKUP(C29,Hoja1!$A$1:$M$82,13,0)</f>
        <v>1</v>
      </c>
      <c r="L29" s="590"/>
      <c r="M29" s="60"/>
      <c r="N29" s="40"/>
      <c r="O29" s="40"/>
      <c r="P29" s="40"/>
      <c r="Q29" s="40"/>
      <c r="R29" s="40"/>
      <c r="S29" s="40"/>
    </row>
    <row r="30" spans="2:19" s="36" customFormat="1" ht="99.75" customHeight="1" x14ac:dyDescent="0.2">
      <c r="B30" s="115">
        <f t="shared" si="0"/>
        <v>16</v>
      </c>
      <c r="C30" s="160" t="str">
        <f>+IFERROR(INDEX(Hoja1!$A$2:$A$82,MATCH(J30,Hoja1!$H$2:$H$82,0)),"")</f>
        <v>4.4</v>
      </c>
      <c r="D30" s="161" t="str">
        <f>IFERROR(VLOOKUP(C30,Hoja1!$A$2:$H$82,4,0),"")</f>
        <v>Ambiente de Control</v>
      </c>
      <c r="E30" s="161" t="str">
        <f>+IFERROR(VLOOKUP(C30,Hoja1!$A$1:$J$82,10,0),"")</f>
        <v>Compromiso con la competencia de todo el personal, por lo que la gestión del talento humano tiene un carácter estratégico con el despliegue de actividades clave para todo el ciclo de vida del servidor público –ingreso, permanencia y retiro.</v>
      </c>
      <c r="F30" s="161" t="str">
        <f>+IFERROR(VLOOKUP(C30,Hoja1!$A$1:$I$82,3,0),"")</f>
        <v>Analizar si se cuenta con políticas claras y comunicadas relacionadas con la responsabilidad de cada servidor sobre el desarrollo y mantenimiento del control interno (1a línea de defensa</v>
      </c>
      <c r="G30" s="160">
        <f>+IFERROR(VLOOKUP(C30,Hoja1!$A$1:$K$82,11,0),"")</f>
        <v>3</v>
      </c>
      <c r="H30" s="162">
        <f>+IFERROR(VLOOKUP(C30,Hoja1!$A$1:$L$82,12,0),"")</f>
        <v>3</v>
      </c>
      <c r="I30" s="159" t="str">
        <f t="shared" si="1"/>
        <v>Se encuentra presente y funciona correctamente, por lo tanto se requiere acciones o actividades  dirigidas a su mantenimiento dentro del marco de las lineas de defensa.</v>
      </c>
      <c r="J30" s="63">
        <v>16</v>
      </c>
      <c r="K30" s="111">
        <f>+VLOOKUP(C30,Hoja1!$A$1:$M$82,13,0)</f>
        <v>1</v>
      </c>
      <c r="L30" s="590"/>
      <c r="M30" s="60"/>
      <c r="N30" s="40"/>
      <c r="O30" s="40"/>
      <c r="P30" s="40"/>
      <c r="Q30" s="40"/>
      <c r="R30" s="40"/>
      <c r="S30" s="40"/>
    </row>
    <row r="31" spans="2:19" s="36" customFormat="1" ht="99.75" customHeight="1" x14ac:dyDescent="0.2">
      <c r="B31" s="114">
        <f t="shared" si="0"/>
        <v>17</v>
      </c>
      <c r="C31" s="160" t="str">
        <f>+IFERROR(INDEX(Hoja1!$A$2:$A$82,MATCH(J31,Hoja1!$H$2:$H$82,0)),"")</f>
        <v>4.5</v>
      </c>
      <c r="D31" s="161" t="str">
        <f>IFERROR(VLOOKUP(C31,Hoja1!$A$2:$H$82,4,0),"")</f>
        <v>Ambiente de Control</v>
      </c>
      <c r="E31" s="161" t="str">
        <f>+IFERROR(VLOOKUP(C31,Hoja1!$A$1:$J$82,10,0),"")</f>
        <v>Compromiso con la competencia de todo el personal, por lo que la gestión del talento humano tiene un carácter estratégico con el despliegue de actividades clave para todo el ciclo de vida del servidor público –ingreso, permanencia y retiro.</v>
      </c>
      <c r="F31" s="161" t="str">
        <f>+IFERROR(VLOOKUP(C31,Hoja1!$A$1:$I$82,3,0),"")</f>
        <v xml:space="preserve"> Evaluación de las actividades relacionadas con el retiro del personal</v>
      </c>
      <c r="G31" s="160">
        <f>+IFERROR(VLOOKUP(C31,Hoja1!$A$1:$K$82,11,0),"")</f>
        <v>3</v>
      </c>
      <c r="H31" s="162">
        <f>+IFERROR(VLOOKUP(C31,Hoja1!$A$1:$L$82,12,0),"")</f>
        <v>3</v>
      </c>
      <c r="I31" s="159" t="str">
        <f t="shared" si="1"/>
        <v>Se encuentra presente y funciona correctamente, por lo tanto se requiere acciones o actividades  dirigidas a su mantenimiento dentro del marco de las lineas de defensa.</v>
      </c>
      <c r="J31" s="63">
        <v>17</v>
      </c>
      <c r="K31" s="111">
        <f>+VLOOKUP(C31,Hoja1!$A$1:$M$82,13,0)</f>
        <v>1</v>
      </c>
      <c r="L31" s="590"/>
      <c r="M31" s="60"/>
      <c r="N31" s="40"/>
      <c r="O31" s="40"/>
      <c r="P31" s="40"/>
      <c r="Q31" s="40"/>
      <c r="R31" s="40"/>
      <c r="S31" s="40"/>
    </row>
    <row r="32" spans="2:19" s="36" customFormat="1" ht="99.75" customHeight="1" x14ac:dyDescent="0.2">
      <c r="B32" s="115">
        <f t="shared" si="0"/>
        <v>18</v>
      </c>
      <c r="C32" s="160" t="str">
        <f>+IFERROR(INDEX(Hoja1!$A$2:$A$82,MATCH(J32,Hoja1!$H$2:$H$82,0)),"")</f>
        <v>5.1</v>
      </c>
      <c r="D32" s="161" t="str">
        <f>IFERROR(VLOOKUP(C32,Hoja1!$A$2:$H$82,4,0),"")</f>
        <v>Ambiente de Control</v>
      </c>
      <c r="E32" s="161" t="str">
        <f>+IFERROR(VLOOKUP(C32,Hoja1!$A$1:$J$82,10,0),"")</f>
        <v>La entidad establece líneas de reporte dentro de la entidad para evaluar el funcionamiento del Sistema de Control Interno.</v>
      </c>
      <c r="F32" s="161" t="str">
        <f>+IFERROR(VLOOKUP(C32,Hoja1!$A$1:$I$82,3,0),"")</f>
        <v xml:space="preserve"> Acorde con la estructura del Esquema de Líneas de Defensa se han definido estándares de reporte, periodicidad y responsables frente a diferentes temas críticos de la entidad</v>
      </c>
      <c r="G32" s="160">
        <f>+IFERROR(VLOOKUP(C32,Hoja1!$A$1:$K$82,11,0),"")</f>
        <v>3</v>
      </c>
      <c r="H32" s="162">
        <f>+IFERROR(VLOOKUP(C32,Hoja1!$A$1:$L$82,12,0),"")</f>
        <v>3</v>
      </c>
      <c r="I32" s="159" t="str">
        <f t="shared" si="1"/>
        <v>Se encuentra presente y funciona correctamente, por lo tanto se requiere acciones o actividades  dirigidas a su mantenimiento dentro del marco de las lineas de defensa.</v>
      </c>
      <c r="J32" s="63">
        <v>18</v>
      </c>
      <c r="K32" s="111">
        <f>+VLOOKUP(C32,Hoja1!$A$1:$M$82,13,0)</f>
        <v>1</v>
      </c>
      <c r="L32" s="590"/>
      <c r="M32" s="60"/>
      <c r="N32" s="40"/>
      <c r="O32" s="40"/>
      <c r="P32" s="40"/>
      <c r="Q32" s="40"/>
      <c r="R32" s="40"/>
      <c r="S32" s="40"/>
    </row>
    <row r="33" spans="2:19" s="36" customFormat="1" ht="99.75" customHeight="1" x14ac:dyDescent="0.2">
      <c r="B33" s="114">
        <f t="shared" si="0"/>
        <v>19</v>
      </c>
      <c r="C33" s="160" t="str">
        <f>+IFERROR(INDEX(Hoja1!$A$2:$A$82,MATCH(J33,Hoja1!$H$2:$H$82,0)),"")</f>
        <v>5.2</v>
      </c>
      <c r="D33" s="161" t="str">
        <f>IFERROR(VLOOKUP(C33,Hoja1!$A$2:$H$82,4,0),"")</f>
        <v>Ambiente de Control</v>
      </c>
      <c r="E33" s="161" t="str">
        <f>+IFERROR(VLOOKUP(C33,Hoja1!$A$1:$J$82,10,0),"")</f>
        <v>La entidad establece líneas de reporte dentro de la entidad para evaluar el funcionamiento del Sistema de Control Interno.</v>
      </c>
      <c r="F33" s="161" t="str">
        <f>+IFERROR(VLOOKUP(C33,Hoja1!$A$1:$I$82,3,0),"")</f>
        <v xml:space="preserve"> La Alta Dirección analiza la información asociada con la generación de reportes financieros</v>
      </c>
      <c r="G33" s="160">
        <f>+IFERROR(VLOOKUP(C33,Hoja1!$A$1:$K$82,11,0),"")</f>
        <v>3</v>
      </c>
      <c r="H33" s="162">
        <f>+IFERROR(VLOOKUP(C33,Hoja1!$A$1:$L$82,12,0),"")</f>
        <v>3</v>
      </c>
      <c r="I33" s="159" t="str">
        <f t="shared" si="1"/>
        <v>Se encuentra presente y funciona correctamente, por lo tanto se requiere acciones o actividades  dirigidas a su mantenimiento dentro del marco de las lineas de defensa.</v>
      </c>
      <c r="J33" s="63">
        <v>19</v>
      </c>
      <c r="K33" s="111">
        <f>+VLOOKUP(C33,Hoja1!$A$1:$M$82,13,0)</f>
        <v>1</v>
      </c>
      <c r="L33" s="590"/>
      <c r="M33" s="60"/>
      <c r="N33" s="40"/>
      <c r="O33" s="40"/>
      <c r="P33" s="40"/>
      <c r="Q33" s="40"/>
      <c r="R33" s="40"/>
      <c r="S33" s="40"/>
    </row>
    <row r="34" spans="2:19" s="36" customFormat="1" ht="99.75" customHeight="1" x14ac:dyDescent="0.2">
      <c r="B34" s="114">
        <f t="shared" si="0"/>
        <v>20</v>
      </c>
      <c r="C34" s="160" t="str">
        <f>+IFERROR(INDEX(Hoja1!$A$2:$A$82,MATCH(J34,Hoja1!$H$2:$H$82,0)),"")</f>
        <v>5.3</v>
      </c>
      <c r="D34" s="161" t="str">
        <f>IFERROR(VLOOKUP(C34,Hoja1!$A$2:$H$82,4,0),"")</f>
        <v>Ambiente de Control</v>
      </c>
      <c r="E34" s="161" t="str">
        <f>+IFERROR(VLOOKUP(C34,Hoja1!$A$1:$J$82,10,0),"")</f>
        <v>La entidad establece líneas de reporte dentro de la entidad para evaluar el funcionamiento del Sistema de Control Interno.</v>
      </c>
      <c r="F34" s="161" t="str">
        <f>+IFERROR(VLOOKUP(C34,Hoja1!$A$1:$I$82,3,0),"")</f>
        <v xml:space="preserve"> Teniendo en cuenta la información suministrada por la 2a y 3a línea de defensa se toman decisiones a tiempo para garantizar el cumplimiento de las metas y objetivos</v>
      </c>
      <c r="G34" s="160">
        <f>+IFERROR(VLOOKUP(C34,Hoja1!$A$1:$K$82,11,0),"")</f>
        <v>3</v>
      </c>
      <c r="H34" s="162">
        <f>+IFERROR(VLOOKUP(C34,Hoja1!$A$1:$L$82,12,0),"")</f>
        <v>3</v>
      </c>
      <c r="I34" s="159" t="str">
        <f t="shared" si="1"/>
        <v>Se encuentra presente y funciona correctamente, por lo tanto se requiere acciones o actividades  dirigidas a su mantenimiento dentro del marco de las lineas de defensa.</v>
      </c>
      <c r="J34" s="63">
        <v>20</v>
      </c>
      <c r="K34" s="111">
        <f>+VLOOKUP(C34,Hoja1!$A$1:$M$82,13,0)</f>
        <v>1</v>
      </c>
      <c r="L34" s="590"/>
      <c r="M34" s="60"/>
      <c r="N34" s="40"/>
      <c r="O34" s="40"/>
      <c r="P34" s="40"/>
      <c r="Q34" s="40"/>
      <c r="R34" s="40"/>
      <c r="S34" s="40"/>
    </row>
    <row r="35" spans="2:19" s="36" customFormat="1" ht="99.75" customHeight="1" x14ac:dyDescent="0.2">
      <c r="B35" s="114">
        <f t="shared" si="0"/>
        <v>21</v>
      </c>
      <c r="C35" s="160" t="str">
        <f>+IFERROR(INDEX(Hoja1!$A$2:$A$82,MATCH(J35,Hoja1!$H$2:$H$82,0)),"")</f>
        <v>5.4</v>
      </c>
      <c r="D35" s="161" t="str">
        <f>IFERROR(VLOOKUP(C35,Hoja1!$A$2:$H$82,4,0),"")</f>
        <v>Ambiente de Control</v>
      </c>
      <c r="E35" s="161" t="str">
        <f>+IFERROR(VLOOKUP(C35,Hoja1!$A$1:$J$82,10,0),"")</f>
        <v>La entidad establece líneas de reporte dentro de la entidad para evaluar el funcionamiento del Sistema de Control Interno.</v>
      </c>
      <c r="F35" s="161" t="str">
        <f>+IFERROR(VLOOKUP(C35,Hoja1!$A$1:$I$82,3,0),"")</f>
        <v xml:space="preserve"> Se evalúa la estructura de control a partir de los cambios en procesos, procedimientos, u otras herramientas, a fin de garantizar su adecuada formulación y afectación frente a la gestión del riesgo</v>
      </c>
      <c r="G35" s="160">
        <f>+IFERROR(VLOOKUP(C35,Hoja1!$A$1:$K$82,11,0),"")</f>
        <v>3</v>
      </c>
      <c r="H35" s="162">
        <f>+IFERROR(VLOOKUP(C35,Hoja1!$A$1:$L$82,12,0),"")</f>
        <v>3</v>
      </c>
      <c r="I35" s="159" t="str">
        <f t="shared" si="1"/>
        <v>Se encuentra presente y funciona correctamente, por lo tanto se requiere acciones o actividades  dirigidas a su mantenimiento dentro del marco de las lineas de defensa.</v>
      </c>
      <c r="J35" s="63">
        <v>21</v>
      </c>
      <c r="K35" s="111">
        <f>+VLOOKUP(C35,Hoja1!$A$1:$M$82,13,0)</f>
        <v>1</v>
      </c>
      <c r="L35" s="590"/>
      <c r="M35" s="60"/>
      <c r="N35" s="40"/>
      <c r="O35" s="40"/>
      <c r="P35" s="40"/>
      <c r="Q35" s="40"/>
      <c r="R35" s="40"/>
      <c r="S35" s="40"/>
    </row>
    <row r="36" spans="2:19" s="36" customFormat="1" ht="99.75" customHeight="1" x14ac:dyDescent="0.2">
      <c r="B36" s="115">
        <f t="shared" si="0"/>
        <v>22</v>
      </c>
      <c r="C36" s="160" t="str">
        <f>+IFERROR(INDEX(Hoja1!$A$2:$A$82,MATCH(J36,Hoja1!$H$2:$H$82,0)),"")</f>
        <v>5.5</v>
      </c>
      <c r="D36" s="161" t="str">
        <f>IFERROR(VLOOKUP(C36,Hoja1!$A$2:$H$82,4,0),"")</f>
        <v>Ambiente de Control</v>
      </c>
      <c r="E36" s="161" t="str">
        <f>+IFERROR(VLOOKUP(C36,Hoja1!$A$1:$J$82,10,0),"")</f>
        <v>La entidad establece líneas de reporte dentro de la entidad para evaluar el funcionamiento del Sistema de Control Interno.</v>
      </c>
      <c r="F36" s="161" t="str">
        <f>+IFERROR(VLOOKUP(C36,Hoja1!$A$1:$I$82,3,0),"")</f>
        <v xml:space="preserve"> La entidad aprueba y hace seguimiento al Plan Anual de Auditoría presentado y ejecutado por parte de la Oficina de Control Interno</v>
      </c>
      <c r="G36" s="160">
        <f>+IFERROR(VLOOKUP(C36,Hoja1!$A$1:$K$82,11,0),"")</f>
        <v>3</v>
      </c>
      <c r="H36" s="162">
        <f>+IFERROR(VLOOKUP(C36,Hoja1!$A$1:$L$82,12,0),"")</f>
        <v>3</v>
      </c>
      <c r="I36" s="159" t="str">
        <f t="shared" si="1"/>
        <v>Se encuentra presente y funciona correctamente, por lo tanto se requiere acciones o actividades  dirigidas a su mantenimiento dentro del marco de las lineas de defensa.</v>
      </c>
      <c r="J36" s="63">
        <v>22</v>
      </c>
      <c r="K36" s="111">
        <f>+VLOOKUP(C36,Hoja1!$A$1:$M$82,13,0)</f>
        <v>1</v>
      </c>
      <c r="L36" s="590"/>
      <c r="M36" s="60"/>
      <c r="N36" s="40"/>
      <c r="O36" s="40"/>
      <c r="P36" s="40"/>
      <c r="Q36" s="40"/>
      <c r="R36" s="40"/>
      <c r="S36" s="40"/>
    </row>
    <row r="37" spans="2:19" s="36" customFormat="1" ht="99.75" customHeight="1" x14ac:dyDescent="0.2">
      <c r="B37" s="114">
        <f t="shared" si="0"/>
        <v>23</v>
      </c>
      <c r="C37" s="160" t="str">
        <f>+IFERROR(INDEX(Hoja1!$A$2:$A$82,MATCH(J37,Hoja1!$H$2:$H$82,0)),"")</f>
        <v>5.6</v>
      </c>
      <c r="D37" s="161" t="str">
        <f>IFERROR(VLOOKUP(C37,Hoja1!$A$2:$H$82,4,0),"")</f>
        <v>Ambiente de Control</v>
      </c>
      <c r="E37" s="161" t="str">
        <f>+IFERROR(VLOOKUP(C37,Hoja1!$A$1:$J$82,10,0),"")</f>
        <v>La entidad establece líneas de reporte dentro de la entidad para evaluar el funcionamiento del Sistema de Control Interno.</v>
      </c>
      <c r="F37" s="161" t="str">
        <f>+IFERROR(VLOOKUP(C37,Hoja1!$A$1:$I$82,3,0),"")</f>
        <v xml:space="preserve"> La entidad analiza los informes presentados por la Oficina de Control Interno y evalúa su impacto en relación con la mejora institucional</v>
      </c>
      <c r="G37" s="160">
        <f>+IFERROR(VLOOKUP(C37,Hoja1!$A$1:$K$82,11,0),"")</f>
        <v>3</v>
      </c>
      <c r="H37" s="162">
        <f>+IFERROR(VLOOKUP(C37,Hoja1!$A$1:$L$82,12,0),"")</f>
        <v>3</v>
      </c>
      <c r="I37" s="159" t="str">
        <f t="shared" si="1"/>
        <v>Se encuentra presente y funciona correctamente, por lo tanto se requiere acciones o actividades  dirigidas a su mantenimiento dentro del marco de las lineas de defensa.</v>
      </c>
      <c r="J37" s="63">
        <v>23</v>
      </c>
      <c r="K37" s="111">
        <f>+VLOOKUP(C37,Hoja1!$A$1:$M$82,13,0)</f>
        <v>1</v>
      </c>
      <c r="L37" s="590"/>
      <c r="M37" s="60"/>
      <c r="N37" s="40"/>
      <c r="O37" s="40"/>
      <c r="P37" s="40"/>
      <c r="Q37" s="40"/>
      <c r="R37" s="40"/>
      <c r="S37" s="40"/>
    </row>
    <row r="38" spans="2:19" s="36" customFormat="1" ht="99.75" customHeight="1" x14ac:dyDescent="0.2">
      <c r="B38" s="115">
        <f t="shared" si="0"/>
        <v>24</v>
      </c>
      <c r="C38" s="160" t="str">
        <f>+IFERROR(INDEX(Hoja1!$A$2:$A$82,MATCH(J38,Hoja1!$H$2:$H$82,0)),"")</f>
        <v>4.7</v>
      </c>
      <c r="D38" s="161" t="str">
        <f>IFERROR(VLOOKUP(C38,Hoja1!$A$2:$H$82,4,0),"")</f>
        <v>Ambiente de Control</v>
      </c>
      <c r="E38" s="161" t="str">
        <f>+IFERROR(VLOOKUP(C38,Hoja1!$A$1:$J$82,10,0),"")</f>
        <v>Compromiso con la competencia de todo el personal, por lo que la gestión del talento humano tiene un carácter estratégico con el despliegue de actividades clave para todo el ciclo de vida del servidor público –ingreso, permanencia y retiro.</v>
      </c>
      <c r="F38" s="161" t="str">
        <f>+IFERROR(VLOOKUP(C38,Hoja1!$A$1:$I$82,3,0),"")</f>
        <v xml:space="preserve"> Evaluación frente a los productos y servicios en los cuales participan los contratistas de apoyo</v>
      </c>
      <c r="G38" s="160">
        <f>+IFERROR(VLOOKUP(C38,Hoja1!$A$1:$K$82,11,0),"")</f>
        <v>3</v>
      </c>
      <c r="H38" s="162">
        <f>+IFERROR(VLOOKUP(C38,Hoja1!$A$1:$L$82,12,0),"")</f>
        <v>3</v>
      </c>
      <c r="I38" s="159" t="str">
        <f t="shared" si="1"/>
        <v>Se encuentra presente y funciona correctamente, por lo tanto se requiere acciones o actividades  dirigidas a su mantenimiento dentro del marco de las lineas de defensa.</v>
      </c>
      <c r="J38" s="63">
        <v>24</v>
      </c>
      <c r="K38" s="111">
        <f>+VLOOKUP(C38,Hoja1!$A$1:$M$82,13,0)</f>
        <v>1</v>
      </c>
      <c r="L38" s="591"/>
      <c r="M38" s="60"/>
      <c r="N38" s="40"/>
      <c r="O38" s="40"/>
      <c r="P38" s="40"/>
      <c r="Q38" s="40"/>
      <c r="R38" s="40"/>
      <c r="S38" s="40"/>
    </row>
    <row r="39" spans="2:19" s="36" customFormat="1" ht="99.75" customHeight="1" x14ac:dyDescent="0.2">
      <c r="B39" s="114">
        <f t="shared" si="0"/>
        <v>25</v>
      </c>
      <c r="C39" s="160" t="str">
        <f>+IFERROR(INDEX(Hoja1!$A$2:$A$82,MATCH(J39,Hoja1!$H$2:$H$82,0)),"")</f>
        <v>6.1</v>
      </c>
      <c r="D39" s="161" t="str">
        <f>IFERROR(VLOOKUP(C39,Hoja1!$A$2:$H$82,4,0),"")</f>
        <v>Evaluación de riesgos</v>
      </c>
      <c r="E39" s="161" t="str">
        <f>+IFERROR(VLOOKUP(C39,Hoja1!$A$1:$J$82,10,0),"")</f>
        <v xml:space="preserve">Definición de objetivos con suficiente claridad para identificar y evaluar los riesgos relacionados: i)Estratégicos; ii)Operativos; iii)Legales y Presupuestales; iv)De Información Financiera y no Financiera.
</v>
      </c>
      <c r="F39" s="161" t="str">
        <f>+IFERROR(VLOOKUP(C39,Hoja1!$A$1:$I$82,3,0),"")</f>
        <v xml:space="preserve">  La Entidad cuenta con mecanismos para vincular o relacionar el plan estratégico con los objetivos estratégicos y estos a su vez con los objetivos operativos</v>
      </c>
      <c r="G39" s="160">
        <f>+IFERROR(VLOOKUP(C39,Hoja1!$A$1:$K$82,11,0),"")</f>
        <v>3</v>
      </c>
      <c r="H39" s="162">
        <f>+IFERROR(VLOOKUP(C39,Hoja1!$A$1:$L$82,12,0),"")</f>
        <v>3</v>
      </c>
      <c r="I39" s="159" t="str">
        <f t="shared" si="1"/>
        <v>Se encuentra presente y funciona correctamente, por lo tanto se requiere acciones o actividades  dirigidas a su mantenimiento dentro del marco de las lineas de defensa.</v>
      </c>
      <c r="J39" s="63">
        <v>25</v>
      </c>
      <c r="K39" s="111">
        <f>+VLOOKUP(C39,Hoja1!$A$1:$M$82,13,0)</f>
        <v>1</v>
      </c>
      <c r="L39" s="592">
        <f>+AVERAGE(K39:K55)</f>
        <v>1</v>
      </c>
      <c r="M39" s="60"/>
      <c r="N39" s="40"/>
      <c r="O39" s="40"/>
      <c r="P39" s="40"/>
      <c r="Q39" s="40"/>
      <c r="R39" s="40"/>
      <c r="S39" s="40"/>
    </row>
    <row r="40" spans="2:19" s="36" customFormat="1" ht="99.75" customHeight="1" x14ac:dyDescent="0.2">
      <c r="B40" s="114">
        <f t="shared" si="0"/>
        <v>26</v>
      </c>
      <c r="C40" s="160" t="str">
        <f>+IFERROR(INDEX(Hoja1!$A$2:$A$82,MATCH(J40,Hoja1!$H$2:$H$82,0)),"")</f>
        <v>6.2</v>
      </c>
      <c r="D40" s="161" t="str">
        <f>IFERROR(VLOOKUP(C40,Hoja1!$A$2:$H$82,4,0),"")</f>
        <v>Evaluación de riesgos</v>
      </c>
      <c r="E40" s="161" t="str">
        <f>+IFERROR(VLOOKUP(C40,Hoja1!$A$1:$J$82,10,0),"")</f>
        <v xml:space="preserve">Definición de objetivos con suficiente claridad para identificar y evaluar los riesgos relacionados: i)Estratégicos; ii)Operativos; iii)Legales y Presupuestales; iv)De Información Financiera y no Financiera.
</v>
      </c>
      <c r="F40" s="161" t="str">
        <f>+IFERROR(VLOOKUP(C40,Hoja1!$A$1:$I$82,3,0),"")</f>
        <v xml:space="preserve"> Los objetivos de los procesos, programas o proyectos (según aplique) que están definidos, son específicos, medibles, alcanzables, relevantes, delimitados en el tiempo</v>
      </c>
      <c r="G40" s="160">
        <f>+IFERROR(VLOOKUP(C40,Hoja1!$A$1:$K$82,11,0),"")</f>
        <v>3</v>
      </c>
      <c r="H40" s="162">
        <f>+IFERROR(VLOOKUP(C40,Hoja1!$A$1:$L$82,12,0),"")</f>
        <v>3</v>
      </c>
      <c r="I40" s="159" t="str">
        <f t="shared" si="1"/>
        <v>Se encuentra presente y funciona correctamente, por lo tanto se requiere acciones o actividades  dirigidas a su mantenimiento dentro del marco de las lineas de defensa.</v>
      </c>
      <c r="J40" s="63">
        <v>26</v>
      </c>
      <c r="K40" s="111">
        <f>+VLOOKUP(C40,Hoja1!$A$1:$M$82,13,0)</f>
        <v>1</v>
      </c>
      <c r="L40" s="590"/>
      <c r="M40" s="60"/>
      <c r="N40" s="40"/>
      <c r="O40" s="40"/>
      <c r="P40" s="40"/>
      <c r="Q40" s="40"/>
      <c r="R40" s="40"/>
      <c r="S40" s="40"/>
    </row>
    <row r="41" spans="2:19" s="36" customFormat="1" ht="99.75" customHeight="1" x14ac:dyDescent="0.2">
      <c r="B41" s="114">
        <f t="shared" si="0"/>
        <v>27</v>
      </c>
      <c r="C41" s="160" t="str">
        <f>+IFERROR(INDEX(Hoja1!$A$2:$A$82,MATCH(J41,Hoja1!$H$2:$H$82,0)),"")</f>
        <v>6.3</v>
      </c>
      <c r="D41" s="161" t="str">
        <f>IFERROR(VLOOKUP(C41,Hoja1!$A$2:$H$82,4,0),"")</f>
        <v>Evaluación de riesgos</v>
      </c>
      <c r="E41" s="161" t="str">
        <f>+IFERROR(VLOOKUP(C41,Hoja1!$A$1:$J$82,10,0),"")</f>
        <v xml:space="preserve">Definición de objetivos con suficiente claridad para identificar y evaluar los riesgos relacionados: i)Estratégicos; ii)Operativos; iii)Legales y Presupuestales; iv)De Información Financiera y no Financiera.
</v>
      </c>
      <c r="F41" s="161" t="str">
        <f>+IFERROR(VLOOKUP(C41,Hoja1!$A$1:$I$82,3,0),"")</f>
        <v xml:space="preserve"> La Alta Dirección evalúa periódicamente los objetivos establecidos para asegurar que estos continúan siendo consistentes y apropiados para la Entidad</v>
      </c>
      <c r="G41" s="160">
        <f>+IFERROR(VLOOKUP(C41,Hoja1!$A$1:$K$82,11,0),"")</f>
        <v>3</v>
      </c>
      <c r="H41" s="162">
        <f>+IFERROR(VLOOKUP(C41,Hoja1!$A$1:$L$82,12,0),"")</f>
        <v>3</v>
      </c>
      <c r="I41" s="159" t="str">
        <f t="shared" si="1"/>
        <v>Se encuentra presente y funciona correctamente, por lo tanto se requiere acciones o actividades  dirigidas a su mantenimiento dentro del marco de las lineas de defensa.</v>
      </c>
      <c r="J41" s="63">
        <v>27</v>
      </c>
      <c r="K41" s="111">
        <f>+VLOOKUP(C41,Hoja1!$A$1:$M$82,13,0)</f>
        <v>1</v>
      </c>
      <c r="L41" s="590"/>
      <c r="M41" s="60"/>
      <c r="N41" s="40"/>
      <c r="O41" s="40"/>
      <c r="P41" s="40"/>
      <c r="Q41" s="40"/>
      <c r="R41" s="40"/>
      <c r="S41" s="40"/>
    </row>
    <row r="42" spans="2:19" s="36" customFormat="1" ht="99.75" customHeight="1" x14ac:dyDescent="0.2">
      <c r="B42" s="115">
        <f t="shared" si="0"/>
        <v>28</v>
      </c>
      <c r="C42" s="160" t="str">
        <f>+IFERROR(INDEX(Hoja1!$A$2:$A$82,MATCH(J42,Hoja1!$H$2:$H$82,0)),"")</f>
        <v>7.1</v>
      </c>
      <c r="D42" s="161" t="str">
        <f>IFERROR(VLOOKUP(C42,Hoja1!$A$2:$H$82,4,0),"")</f>
        <v>Evaluación de riesgos</v>
      </c>
      <c r="E42" s="161" t="str">
        <f>+IFERROR(VLOOKUP(C42,Hoja1!$A$1:$J$82,10,0),"")</f>
        <v xml:space="preserve">Identificación y análisis de riesgos (Analiza factores internos y externos; Implica a los niveles apropiados de la dirección; Determina cómo responder a los riesgos; Determina la importancia de los riesgos). </v>
      </c>
      <c r="F42" s="161" t="str">
        <f>+IFERROR(VLOOKUP(C42,Hoja1!$A$1:$I$82,3,0),"")</f>
        <v xml:space="preserve"> Teniendo en cuenta la estructura de la política de Administración del Riesgo, su alcance define lineamientos para toda la entidad, incluyendo regionales, áreas tercerizadas u otras instancias que afectan la prestación del servicio</v>
      </c>
      <c r="G42" s="160">
        <f>+IFERROR(VLOOKUP(C42,Hoja1!$A$1:$K$82,11,0),"")</f>
        <v>3</v>
      </c>
      <c r="H42" s="162">
        <f>+IFERROR(VLOOKUP(C42,Hoja1!$A$1:$L$82,12,0),"")</f>
        <v>3</v>
      </c>
      <c r="I42" s="159" t="str">
        <f t="shared" si="1"/>
        <v>Se encuentra presente y funciona correctamente, por lo tanto se requiere acciones o actividades  dirigidas a su mantenimiento dentro del marco de las lineas de defensa.</v>
      </c>
      <c r="J42" s="63">
        <v>28</v>
      </c>
      <c r="K42" s="111">
        <f>+VLOOKUP(C42,Hoja1!$A$1:$M$82,13,0)</f>
        <v>1</v>
      </c>
      <c r="L42" s="590"/>
      <c r="M42" s="60"/>
      <c r="N42" s="40"/>
      <c r="O42" s="40"/>
      <c r="P42" s="40"/>
      <c r="Q42" s="40"/>
      <c r="R42" s="40"/>
      <c r="S42" s="40"/>
    </row>
    <row r="43" spans="2:19" s="36" customFormat="1" ht="99.75" customHeight="1" x14ac:dyDescent="0.2">
      <c r="B43" s="114">
        <f t="shared" si="0"/>
        <v>29</v>
      </c>
      <c r="C43" s="160" t="str">
        <f>+IFERROR(INDEX(Hoja1!$A$2:$A$82,MATCH(J43,Hoja1!$H$2:$H$82,0)),"")</f>
        <v>7.2</v>
      </c>
      <c r="D43" s="161" t="str">
        <f>IFERROR(VLOOKUP(C43,Hoja1!$A$2:$H$82,4,0),"")</f>
        <v>Evaluación de riesgos</v>
      </c>
      <c r="E43" s="161" t="str">
        <f>+IFERROR(VLOOKUP(C43,Hoja1!$A$1:$J$82,10,0),"")</f>
        <v xml:space="preserve">Identificación y análisis de riesgos (Analiza factores internos y externos; Implica a los niveles apropiados de la dirección; Determina cómo responder a los riesgos; Determina la importancia de los riesgos). </v>
      </c>
      <c r="F43" s="161" t="str">
        <f>+IFERROR(VLOOKUP(C43,Hoja1!$A$1:$I$82,3,0),"")</f>
        <v xml:space="preserve"> La Oficina de Planeación, Gerencia de Riesgos (donde existan), como 2a línea de defensa, consolidan información clave frente a la gestión del riesgo</v>
      </c>
      <c r="G43" s="160">
        <f>+IFERROR(VLOOKUP(C43,Hoja1!$A$1:$K$82,11,0),"")</f>
        <v>3</v>
      </c>
      <c r="H43" s="162">
        <f>+IFERROR(VLOOKUP(C43,Hoja1!$A$1:$L$82,12,0),"")</f>
        <v>3</v>
      </c>
      <c r="I43" s="159" t="str">
        <f t="shared" si="1"/>
        <v>Se encuentra presente y funciona correctamente, por lo tanto se requiere acciones o actividades  dirigidas a su mantenimiento dentro del marco de las lineas de defensa.</v>
      </c>
      <c r="J43" s="63">
        <v>29</v>
      </c>
      <c r="K43" s="111">
        <f>+VLOOKUP(C43,Hoja1!$A$1:$M$82,13,0)</f>
        <v>1</v>
      </c>
      <c r="L43" s="590"/>
      <c r="M43" s="60"/>
      <c r="N43" s="40"/>
      <c r="O43" s="40"/>
      <c r="P43" s="40"/>
      <c r="Q43" s="40"/>
      <c r="R43" s="40"/>
      <c r="S43" s="40"/>
    </row>
    <row r="44" spans="2:19" s="36" customFormat="1" ht="99.75" customHeight="1" x14ac:dyDescent="0.2">
      <c r="B44" s="115">
        <f t="shared" si="0"/>
        <v>30</v>
      </c>
      <c r="C44" s="160" t="str">
        <f>+IFERROR(INDEX(Hoja1!$A$2:$A$82,MATCH(J44,Hoja1!$H$2:$H$82,0)),"")</f>
        <v>7.3</v>
      </c>
      <c r="D44" s="161" t="str">
        <f>IFERROR(VLOOKUP(C44,Hoja1!$A$2:$H$82,4,0),"")</f>
        <v>Evaluación de riesgos</v>
      </c>
      <c r="E44" s="161" t="str">
        <f>+IFERROR(VLOOKUP(C44,Hoja1!$A$1:$J$82,10,0),"")</f>
        <v xml:space="preserve">Identificación y análisis de riesgos (Analiza factores internos y externos; Implica a los niveles apropiados de la dirección; Determina cómo responder a los riesgos; Determina la importancia de los riesgos). </v>
      </c>
      <c r="F44" s="161" t="str">
        <f>+IFERROR(VLOOKUP(C44,Hoja1!$A$1:$I$82,3,0),"")</f>
        <v xml:space="preserve"> A partir de la información consolidada y reportada por la 2a línea de defensa (7.2), la Alta Dirección analiza sus resultados y en especial considera si se han presentado materializaciones de riesgo</v>
      </c>
      <c r="G44" s="160">
        <f>+IFERROR(VLOOKUP(C44,Hoja1!$A$1:$K$82,11,0),"")</f>
        <v>3</v>
      </c>
      <c r="H44" s="162">
        <f>+IFERROR(VLOOKUP(C44,Hoja1!$A$1:$L$82,12,0),"")</f>
        <v>3</v>
      </c>
      <c r="I44" s="159" t="str">
        <f t="shared" si="1"/>
        <v>Se encuentra presente y funciona correctamente, por lo tanto se requiere acciones o actividades  dirigidas a su mantenimiento dentro del marco de las lineas de defensa.</v>
      </c>
      <c r="J44" s="63">
        <v>30</v>
      </c>
      <c r="K44" s="111">
        <f>+VLOOKUP(C44,Hoja1!$A$1:$M$82,13,0)</f>
        <v>1</v>
      </c>
      <c r="L44" s="590"/>
      <c r="M44" s="60"/>
      <c r="N44" s="40"/>
      <c r="O44" s="40"/>
      <c r="P44" s="40"/>
      <c r="Q44" s="40"/>
      <c r="R44" s="40"/>
      <c r="S44" s="40"/>
    </row>
    <row r="45" spans="2:19" s="36" customFormat="1" ht="99.75" customHeight="1" x14ac:dyDescent="0.2">
      <c r="B45" s="114">
        <f t="shared" si="0"/>
        <v>31</v>
      </c>
      <c r="C45" s="160" t="str">
        <f>+IFERROR(INDEX(Hoja1!$A$2:$A$82,MATCH(J45,Hoja1!$H$2:$H$82,0)),"")</f>
        <v>7.4</v>
      </c>
      <c r="D45" s="161" t="str">
        <f>IFERROR(VLOOKUP(C45,Hoja1!$A$2:$H$82,4,0),"")</f>
        <v>Evaluación de riesgos</v>
      </c>
      <c r="E45" s="161" t="str">
        <f>+IFERROR(VLOOKUP(C45,Hoja1!$A$1:$J$82,10,0),"")</f>
        <v xml:space="preserve">Identificación y análisis de riesgos (Analiza factores internos y externos; Implica a los niveles apropiados de la dirección; Determina cómo responder a los riesgos; Determina la importancia de los riesgos). </v>
      </c>
      <c r="F45" s="161" t="str">
        <f>+IFERROR(VLOOKUP(C45,Hoja1!$A$1:$I$82,3,0),"")</f>
        <v xml:space="preserve"> Cuando se detectan materializaciones de riesgo, se definen los cursos de acción en relación con la revisión y actualización del mapa de riesgos correspondiente</v>
      </c>
      <c r="G45" s="160">
        <f>+IFERROR(VLOOKUP(C45,Hoja1!$A$1:$K$82,11,0),"")</f>
        <v>3</v>
      </c>
      <c r="H45" s="162">
        <f>+IFERROR(VLOOKUP(C45,Hoja1!$A$1:$L$82,12,0),"")</f>
        <v>3</v>
      </c>
      <c r="I45" s="159" t="str">
        <f t="shared" si="1"/>
        <v>Se encuentra presente y funciona correctamente, por lo tanto se requiere acciones o actividades  dirigidas a su mantenimiento dentro del marco de las lineas de defensa.</v>
      </c>
      <c r="J45" s="63">
        <v>31</v>
      </c>
      <c r="K45" s="111">
        <f>+VLOOKUP(C45,Hoja1!$A$1:$M$82,13,0)</f>
        <v>1</v>
      </c>
      <c r="L45" s="590"/>
      <c r="M45" s="60"/>
      <c r="N45" s="40"/>
      <c r="O45" s="40"/>
      <c r="P45" s="40"/>
      <c r="Q45" s="40"/>
      <c r="R45" s="40"/>
      <c r="S45" s="40"/>
    </row>
    <row r="46" spans="2:19" s="36" customFormat="1" ht="99.75" customHeight="1" x14ac:dyDescent="0.2">
      <c r="B46" s="114">
        <f t="shared" si="0"/>
        <v>32</v>
      </c>
      <c r="C46" s="160" t="str">
        <f>+IFERROR(INDEX(Hoja1!$A$2:$A$82,MATCH(J46,Hoja1!$H$2:$H$82,0)),"")</f>
        <v>7.5</v>
      </c>
      <c r="D46" s="161" t="str">
        <f>IFERROR(VLOOKUP(C46,Hoja1!$A$2:$H$82,4,0),"")</f>
        <v>Evaluación de riesgos</v>
      </c>
      <c r="E46" s="161" t="str">
        <f>+IFERROR(VLOOKUP(C46,Hoja1!$A$1:$J$82,10,0),"")</f>
        <v xml:space="preserve">Identificación y análisis de riesgos (Analiza factores internos y externos; Implica a los niveles apropiados de la dirección; Determina cómo responder a los riesgos; Determina la importancia de los riesgos). </v>
      </c>
      <c r="F46" s="161" t="str">
        <f>+IFERROR(VLOOKUP(C46,Hoja1!$A$1:$I$82,3,0),"")</f>
        <v xml:space="preserve"> Se llevan a cabo seguimientos a las acciones definidas para resolver materializaciones de riesgo detectadas</v>
      </c>
      <c r="G46" s="160">
        <f>+IFERROR(VLOOKUP(C46,Hoja1!$A$1:$K$82,11,0),"")</f>
        <v>3</v>
      </c>
      <c r="H46" s="162">
        <f>+IFERROR(VLOOKUP(C46,Hoja1!$A$1:$L$82,12,0),"")</f>
        <v>3</v>
      </c>
      <c r="I46" s="159" t="str">
        <f t="shared" si="1"/>
        <v>Se encuentra presente y funciona correctamente, por lo tanto se requiere acciones o actividades  dirigidas a su mantenimiento dentro del marco de las lineas de defensa.</v>
      </c>
      <c r="J46" s="63">
        <v>32</v>
      </c>
      <c r="K46" s="111">
        <f>+VLOOKUP(C46,Hoja1!$A$1:$M$82,13,0)</f>
        <v>1</v>
      </c>
      <c r="L46" s="590"/>
      <c r="M46" s="60"/>
      <c r="N46" s="40"/>
      <c r="O46" s="40"/>
      <c r="P46" s="40"/>
      <c r="Q46" s="40"/>
      <c r="R46" s="40"/>
      <c r="S46" s="40"/>
    </row>
    <row r="47" spans="2:19" s="36" customFormat="1" ht="99.75" customHeight="1" x14ac:dyDescent="0.2">
      <c r="B47" s="114">
        <f t="shared" si="0"/>
        <v>33</v>
      </c>
      <c r="C47" s="160" t="str">
        <f>+IFERROR(INDEX(Hoja1!$A$2:$A$82,MATCH(J47,Hoja1!$H$2:$H$82,0)),"")</f>
        <v>8.1</v>
      </c>
      <c r="D47" s="161" t="str">
        <f>IFERROR(VLOOKUP(C47,Hoja1!$A$2:$H$82,4,0),"")</f>
        <v>Evaluación de riesgos</v>
      </c>
      <c r="E47" s="161" t="str">
        <f>+IFERROR(VLOOKUP(C47,Hoja1!$A$1:$J$82,10,0),"")</f>
        <v xml:space="preserve">Evaluación del riesgo de fraude o corrupción. 
Cumplimiento artículo 73 de la Ley 1474 de 2011, relacionado con la prevención de los riesgos de corrupción.
</v>
      </c>
      <c r="F47" s="161" t="str">
        <f>+IFERROR(VLOOKUP(C47,Hoja1!$A$1:$I$82,3,0),"")</f>
        <v xml:space="preserve"> La Alta Dirección acorde con el análisis del entorno interno y externo, define los procesos, programas o proyectos (según aplique), susceptibles de posibles actos de corrupción</v>
      </c>
      <c r="G47" s="160">
        <f>+IFERROR(VLOOKUP(C47,Hoja1!$A$1:$K$82,11,0),"")</f>
        <v>3</v>
      </c>
      <c r="H47" s="162">
        <f>+IFERROR(VLOOKUP(C47,Hoja1!$A$1:$L$82,12,0),"")</f>
        <v>3</v>
      </c>
      <c r="I47" s="159" t="str">
        <f t="shared" si="1"/>
        <v>Se encuentra presente y funciona correctamente, por lo tanto se requiere acciones o actividades  dirigidas a su mantenimiento dentro del marco de las lineas de defensa.</v>
      </c>
      <c r="J47" s="63">
        <v>33</v>
      </c>
      <c r="K47" s="111">
        <f>+VLOOKUP(C47,Hoja1!$A$1:$M$82,13,0)</f>
        <v>1</v>
      </c>
      <c r="L47" s="590"/>
      <c r="M47" s="60"/>
      <c r="N47" s="40"/>
      <c r="O47" s="40"/>
      <c r="P47" s="40"/>
      <c r="Q47" s="40"/>
      <c r="R47" s="40"/>
      <c r="S47" s="40"/>
    </row>
    <row r="48" spans="2:19" s="36" customFormat="1" ht="99.75" customHeight="1" x14ac:dyDescent="0.2">
      <c r="B48" s="115">
        <f t="shared" si="0"/>
        <v>34</v>
      </c>
      <c r="C48" s="160" t="str">
        <f>+IFERROR(INDEX(Hoja1!$A$2:$A$82,MATCH(J48,Hoja1!$H$2:$H$82,0)),"")</f>
        <v>8.2</v>
      </c>
      <c r="D48" s="161" t="str">
        <f>IFERROR(VLOOKUP(C48,Hoja1!$A$2:$H$82,4,0),"")</f>
        <v>Evaluación de riesgos</v>
      </c>
      <c r="E48" s="161" t="str">
        <f>+IFERROR(VLOOKUP(C48,Hoja1!$A$1:$J$82,10,0),"")</f>
        <v xml:space="preserve">Evaluación del riesgo de fraude o corrupción. 
Cumplimiento artículo 73 de la Ley 1474 de 2011, relacionado con la prevención de los riesgos de corrupción.
</v>
      </c>
      <c r="F48" s="161" t="str">
        <f>+IFERROR(VLOOKUP(C48,Hoja1!$A$1:$I$82,3,0),"")</f>
        <v xml:space="preserve"> La Alta Dirección monitorea los riesgos de corrupción con la periodicidad establecida en la Política de Administración del Riesgo</v>
      </c>
      <c r="G48" s="160">
        <f>+IFERROR(VLOOKUP(C48,Hoja1!$A$1:$K$82,11,0),"")</f>
        <v>3</v>
      </c>
      <c r="H48" s="162">
        <f>+IFERROR(VLOOKUP(C48,Hoja1!$A$1:$L$82,12,0),"")</f>
        <v>3</v>
      </c>
      <c r="I48" s="159" t="str">
        <f t="shared" si="1"/>
        <v>Se encuentra presente y funciona correctamente, por lo tanto se requiere acciones o actividades  dirigidas a su mantenimiento dentro del marco de las lineas de defensa.</v>
      </c>
      <c r="J48" s="63">
        <v>34</v>
      </c>
      <c r="K48" s="111">
        <f>+VLOOKUP(C48,Hoja1!$A$1:$M$82,13,0)</f>
        <v>1</v>
      </c>
      <c r="L48" s="590"/>
      <c r="M48" s="60"/>
      <c r="N48" s="40"/>
      <c r="O48" s="40"/>
      <c r="P48" s="40"/>
      <c r="Q48" s="40"/>
      <c r="R48" s="40"/>
      <c r="S48" s="40"/>
    </row>
    <row r="49" spans="2:19" s="36" customFormat="1" ht="99.75" customHeight="1" x14ac:dyDescent="0.2">
      <c r="B49" s="114">
        <f t="shared" si="0"/>
        <v>35</v>
      </c>
      <c r="C49" s="160" t="str">
        <f>+IFERROR(INDEX(Hoja1!$A$2:$A$82,MATCH(J49,Hoja1!$H$2:$H$82,0)),"")</f>
        <v>8.3</v>
      </c>
      <c r="D49" s="161" t="str">
        <f>IFERROR(VLOOKUP(C49,Hoja1!$A$2:$H$82,4,0),"")</f>
        <v>Evaluación de riesgos</v>
      </c>
      <c r="E49" s="161" t="str">
        <f>+IFERROR(VLOOKUP(C49,Hoja1!$A$1:$J$82,10,0),"")</f>
        <v xml:space="preserve">Evaluación del riesgo de fraude o corrupción. 
Cumplimiento artículo 73 de la Ley 1474 de 2011, relacionado con la prevención de los riesgos de corrupción.
</v>
      </c>
      <c r="F49" s="161" t="str">
        <f>+IFERROR(VLOOKUP(C49,Hoja1!$A$1:$I$82,3,0),"")</f>
        <v xml:space="preserve"> Para el desarrollo de las actividades de control, la entidad considera la adecuada división de las funciones y que éstas se encuentren segregadas en diferentes personas para reducir el riesgo de acciones fraudulentas</v>
      </c>
      <c r="G49" s="160">
        <f>+IFERROR(VLOOKUP(C49,Hoja1!$A$1:$K$82,11,0),"")</f>
        <v>3</v>
      </c>
      <c r="H49" s="162">
        <f>+IFERROR(VLOOKUP(C49,Hoja1!$A$1:$L$82,12,0),"")</f>
        <v>3</v>
      </c>
      <c r="I49" s="159" t="str">
        <f t="shared" si="1"/>
        <v>Se encuentra presente y funciona correctamente, por lo tanto se requiere acciones o actividades  dirigidas a su mantenimiento dentro del marco de las lineas de defensa.</v>
      </c>
      <c r="J49" s="63">
        <v>35</v>
      </c>
      <c r="K49" s="111">
        <f>+VLOOKUP(C49,Hoja1!$A$1:$M$82,13,0)</f>
        <v>1</v>
      </c>
      <c r="L49" s="590"/>
      <c r="M49" s="60"/>
      <c r="N49" s="40"/>
      <c r="O49" s="40"/>
      <c r="P49" s="40"/>
      <c r="Q49" s="40"/>
      <c r="R49" s="40"/>
      <c r="S49" s="40"/>
    </row>
    <row r="50" spans="2:19" s="36" customFormat="1" ht="99.75" customHeight="1" x14ac:dyDescent="0.2">
      <c r="B50" s="115">
        <f t="shared" si="0"/>
        <v>36</v>
      </c>
      <c r="C50" s="160" t="str">
        <f>+IFERROR(INDEX(Hoja1!$A$2:$A$82,MATCH(J50,Hoja1!$H$2:$H$82,0)),"")</f>
        <v>8.4</v>
      </c>
      <c r="D50" s="161" t="str">
        <f>IFERROR(VLOOKUP(C50,Hoja1!$A$2:$H$82,4,0),"")</f>
        <v>Evaluación de riesgos</v>
      </c>
      <c r="E50" s="161" t="str">
        <f>+IFERROR(VLOOKUP(C50,Hoja1!$A$1:$J$82,10,0),"")</f>
        <v xml:space="preserve">Evaluación del riesgo de fraude o corrupción. 
Cumplimiento artículo 73 de la Ley 1474 de 2011, relacionado con la prevención de los riesgos de corrupción.
</v>
      </c>
      <c r="F50" s="161" t="str">
        <f>+IFERROR(VLOOKUP(C50,Hoja1!$A$1:$I$82,3,0),"")</f>
        <v xml:space="preserve"> La Alta Dirección evalúa fallas en los controles (diseño y ejecución) para definir cursos de acción apropiados para su mejora</v>
      </c>
      <c r="G50" s="160">
        <f>+IFERROR(VLOOKUP(C50,Hoja1!$A$1:$K$82,11,0),"")</f>
        <v>3</v>
      </c>
      <c r="H50" s="162">
        <f>+IFERROR(VLOOKUP(C50,Hoja1!$A$1:$L$82,12,0),"")</f>
        <v>3</v>
      </c>
      <c r="I50" s="159" t="str">
        <f t="shared" si="1"/>
        <v>Se encuentra presente y funciona correctamente, por lo tanto se requiere acciones o actividades  dirigidas a su mantenimiento dentro del marco de las lineas de defensa.</v>
      </c>
      <c r="J50" s="63">
        <v>36</v>
      </c>
      <c r="K50" s="111">
        <f>+VLOOKUP(C50,Hoja1!$A$1:$M$82,13,0)</f>
        <v>1</v>
      </c>
      <c r="L50" s="590"/>
      <c r="M50" s="60"/>
      <c r="N50" s="40"/>
      <c r="O50" s="40"/>
      <c r="P50" s="40"/>
      <c r="Q50" s="40"/>
      <c r="R50" s="40"/>
      <c r="S50" s="40"/>
    </row>
    <row r="51" spans="2:19" s="36" customFormat="1" ht="99.75" customHeight="1" x14ac:dyDescent="0.2">
      <c r="B51" s="114">
        <f t="shared" si="0"/>
        <v>37</v>
      </c>
      <c r="C51" s="160" t="str">
        <f>+IFERROR(INDEX(Hoja1!$A$2:$A$82,MATCH(J51,Hoja1!$H$2:$H$82,0)),"")</f>
        <v>9.1</v>
      </c>
      <c r="D51" s="161" t="str">
        <f>IFERROR(VLOOKUP(C51,Hoja1!$A$2:$H$82,4,0),"")</f>
        <v>Evaluación de riesgos</v>
      </c>
      <c r="E51" s="161" t="str">
        <f>+IFERROR(VLOOKUP(C51,Hoja1!$A$1:$J$82,10,0),"")</f>
        <v xml:space="preserve">Identificación y análisis de cambios significativos </v>
      </c>
      <c r="F51" s="161" t="str">
        <f>+IFERROR(VLOOKUP(C51,Hoja1!$A$1:$I$82,3,0),"")</f>
        <v xml:space="preserve"> Acorde con lo establecido en la política de Administración del Riesgo, se monitorean los factores internos y externos definidos para la entidad, a fin de establecer cambios en el entorno que determinen nuevos riesgos o ajustes a los existentes</v>
      </c>
      <c r="G51" s="160">
        <f>+IFERROR(VLOOKUP(C51,Hoja1!$A$1:$K$82,11,0),"")</f>
        <v>3</v>
      </c>
      <c r="H51" s="162">
        <f>+IFERROR(VLOOKUP(C51,Hoja1!$A$1:$L$82,12,0),"")</f>
        <v>3</v>
      </c>
      <c r="I51" s="159" t="str">
        <f t="shared" si="1"/>
        <v>Se encuentra presente y funciona correctamente, por lo tanto se requiere acciones o actividades  dirigidas a su mantenimiento dentro del marco de las lineas de defensa.</v>
      </c>
      <c r="J51" s="63">
        <v>37</v>
      </c>
      <c r="K51" s="111">
        <f>+VLOOKUP(C51,Hoja1!$A$1:$M$82,13,0)</f>
        <v>1</v>
      </c>
      <c r="L51" s="590"/>
      <c r="M51" s="60"/>
      <c r="N51" s="40"/>
      <c r="O51" s="40"/>
      <c r="P51" s="40"/>
      <c r="Q51" s="40"/>
      <c r="R51" s="40"/>
      <c r="S51" s="40"/>
    </row>
    <row r="52" spans="2:19" s="36" customFormat="1" ht="99.75" customHeight="1" x14ac:dyDescent="0.2">
      <c r="B52" s="114">
        <f t="shared" si="0"/>
        <v>38</v>
      </c>
      <c r="C52" s="160" t="str">
        <f>+IFERROR(INDEX(Hoja1!$A$2:$A$82,MATCH(J52,Hoja1!$H$2:$H$82,0)),"")</f>
        <v>9.2</v>
      </c>
      <c r="D52" s="161" t="str">
        <f>IFERROR(VLOOKUP(C52,Hoja1!$A$2:$H$82,4,0),"")</f>
        <v>Evaluación de riesgos</v>
      </c>
      <c r="E52" s="161" t="str">
        <f>+IFERROR(VLOOKUP(C52,Hoja1!$A$1:$J$82,10,0),"")</f>
        <v xml:space="preserve">Identificación y análisis de cambios significativos </v>
      </c>
      <c r="F52" s="161" t="str">
        <f>+IFERROR(VLOOKUP(C52,Hoja1!$A$1:$I$82,3,0),"")</f>
        <v xml:space="preserve"> La Alta Dirección analiza los riesgos asociados a actividades tercerizadas, regionales u otras figuras externas que afecten la prestación del servicio a los usuarios, basados en los informes de la segunda y tercera linea de defensa</v>
      </c>
      <c r="G52" s="160">
        <f>+IFERROR(VLOOKUP(C52,Hoja1!$A$1:$K$82,11,0),"")</f>
        <v>3</v>
      </c>
      <c r="H52" s="162">
        <f>+IFERROR(VLOOKUP(C52,Hoja1!$A$1:$L$82,12,0),"")</f>
        <v>3</v>
      </c>
      <c r="I52" s="159" t="str">
        <f t="shared" si="1"/>
        <v>Se encuentra presente y funciona correctamente, por lo tanto se requiere acciones o actividades  dirigidas a su mantenimiento dentro del marco de las lineas de defensa.</v>
      </c>
      <c r="J52" s="63">
        <v>38</v>
      </c>
      <c r="K52" s="111">
        <f>+VLOOKUP(C52,Hoja1!$A$1:$M$82,13,0)</f>
        <v>1</v>
      </c>
      <c r="L52" s="590"/>
      <c r="M52" s="60"/>
      <c r="N52" s="40"/>
      <c r="O52" s="40"/>
      <c r="P52" s="40"/>
      <c r="Q52" s="40"/>
      <c r="R52" s="40"/>
      <c r="S52" s="40"/>
    </row>
    <row r="53" spans="2:19" s="36" customFormat="1" ht="99.75" customHeight="1" x14ac:dyDescent="0.2">
      <c r="B53" s="114">
        <f t="shared" si="0"/>
        <v>39</v>
      </c>
      <c r="C53" s="160" t="str">
        <f>+IFERROR(INDEX(Hoja1!$A$2:$A$82,MATCH(J53,Hoja1!$H$2:$H$82,0)),"")</f>
        <v>9.3</v>
      </c>
      <c r="D53" s="161" t="str">
        <f>IFERROR(VLOOKUP(C53,Hoja1!$A$2:$H$82,4,0),"")</f>
        <v>Evaluación de riesgos</v>
      </c>
      <c r="E53" s="161" t="str">
        <f>+IFERROR(VLOOKUP(C53,Hoja1!$A$1:$J$82,10,0),"")</f>
        <v xml:space="preserve">Identificación y análisis de cambios significativos </v>
      </c>
      <c r="F53" s="161" t="str">
        <f>+IFERROR(VLOOKUP(C53,Hoja1!$A$1:$I$82,3,0),"")</f>
        <v xml:space="preserve"> La Alta Dirección monitorea los riesgos aceptados revisando que sus condiciones no hayan cambiado y definir su pertinencia para sostenerlos o ajustarlos</v>
      </c>
      <c r="G53" s="160">
        <f>+IFERROR(VLOOKUP(C53,Hoja1!$A$1:$K$82,11,0),"")</f>
        <v>3</v>
      </c>
      <c r="H53" s="162">
        <f>+IFERROR(VLOOKUP(C53,Hoja1!$A$1:$L$82,12,0),"")</f>
        <v>3</v>
      </c>
      <c r="I53" s="159" t="str">
        <f t="shared" si="1"/>
        <v>Se encuentra presente y funciona correctamente, por lo tanto se requiere acciones o actividades  dirigidas a su mantenimiento dentro del marco de las lineas de defensa.</v>
      </c>
      <c r="J53" s="63">
        <v>39</v>
      </c>
      <c r="K53" s="111">
        <f>+VLOOKUP(C53,Hoja1!$A$1:$M$82,13,0)</f>
        <v>1</v>
      </c>
      <c r="L53" s="590"/>
      <c r="M53" s="60"/>
      <c r="N53" s="40"/>
      <c r="O53" s="40"/>
      <c r="P53" s="40"/>
      <c r="Q53" s="40"/>
      <c r="R53" s="40"/>
      <c r="S53" s="40"/>
    </row>
    <row r="54" spans="2:19" s="36" customFormat="1" ht="99.75" customHeight="1" x14ac:dyDescent="0.2">
      <c r="B54" s="115">
        <f t="shared" si="0"/>
        <v>40</v>
      </c>
      <c r="C54" s="160" t="str">
        <f>+IFERROR(INDEX(Hoja1!$A$2:$A$82,MATCH(J54,Hoja1!$H$2:$H$82,0)),"")</f>
        <v>9.4</v>
      </c>
      <c r="D54" s="161" t="str">
        <f>IFERROR(VLOOKUP(C54,Hoja1!$A$2:$H$82,4,0),"")</f>
        <v>Evaluación de riesgos</v>
      </c>
      <c r="E54" s="161" t="str">
        <f>+IFERROR(VLOOKUP(C54,Hoja1!$A$1:$J$82,10,0),"")</f>
        <v xml:space="preserve">Identificación y análisis de cambios significativos </v>
      </c>
      <c r="F54" s="161" t="str">
        <f>+IFERROR(VLOOKUP(C54,Hoja1!$A$1:$I$82,3,0),"")</f>
        <v xml:space="preserve"> La Alta Dirección evalúa fallas en los controles (diseño y ejecución) para definir cursos de acción apropiados para su mejora, basados en los informes de la segunda y tercera linea de defensa</v>
      </c>
      <c r="G54" s="160">
        <f>+IFERROR(VLOOKUP(C54,Hoja1!$A$1:$K$82,11,0),"")</f>
        <v>3</v>
      </c>
      <c r="H54" s="162">
        <f>+IFERROR(VLOOKUP(C54,Hoja1!$A$1:$L$82,12,0),"")</f>
        <v>3</v>
      </c>
      <c r="I54" s="159" t="str">
        <f t="shared" si="1"/>
        <v>Se encuentra presente y funciona correctamente, por lo tanto se requiere acciones o actividades  dirigidas a su mantenimiento dentro del marco de las lineas de defensa.</v>
      </c>
      <c r="J54" s="63">
        <v>40</v>
      </c>
      <c r="K54" s="111">
        <f>+VLOOKUP(C54,Hoja1!$A$1:$M$82,13,0)</f>
        <v>1</v>
      </c>
      <c r="L54" s="590"/>
      <c r="M54" s="60"/>
      <c r="N54" s="40"/>
      <c r="O54" s="40"/>
      <c r="P54" s="40"/>
      <c r="Q54" s="40"/>
      <c r="R54" s="40"/>
      <c r="S54" s="40"/>
    </row>
    <row r="55" spans="2:19" s="36" customFormat="1" ht="99.75" customHeight="1" x14ac:dyDescent="0.2">
      <c r="B55" s="114">
        <f t="shared" si="0"/>
        <v>41</v>
      </c>
      <c r="C55" s="160" t="str">
        <f>+IFERROR(INDEX(Hoja1!$A$2:$A$82,MATCH(J55,Hoja1!$H$2:$H$82,0)),"")</f>
        <v>9.5</v>
      </c>
      <c r="D55" s="161" t="str">
        <f>IFERROR(VLOOKUP(C55,Hoja1!$A$2:$H$82,4,0),"")</f>
        <v>Evaluación de riesgos</v>
      </c>
      <c r="E55" s="161" t="str">
        <f>+IFERROR(VLOOKUP(C55,Hoja1!$A$1:$J$82,10,0),"")</f>
        <v xml:space="preserve">Identificación y análisis de cambios significativos </v>
      </c>
      <c r="F55" s="161" t="str">
        <f>+IFERROR(VLOOKUP(C55,Hoja1!$A$1:$I$82,3,0),"")</f>
        <v xml:space="preserve"> La entidad analiza el impacto sobre el control interno por cambios en los diferentes niveles organizacionales</v>
      </c>
      <c r="G55" s="160">
        <f>+IFERROR(VLOOKUP(C55,Hoja1!$A$1:$K$82,11,0),"")</f>
        <v>3</v>
      </c>
      <c r="H55" s="162">
        <f>+IFERROR(VLOOKUP(C55,Hoja1!$A$1:$L$82,12,0),"")</f>
        <v>3</v>
      </c>
      <c r="I55" s="159" t="str">
        <f t="shared" si="1"/>
        <v>Se encuentra presente y funciona correctamente, por lo tanto se requiere acciones o actividades  dirigidas a su mantenimiento dentro del marco de las lineas de defensa.</v>
      </c>
      <c r="J55" s="63">
        <v>41</v>
      </c>
      <c r="K55" s="111">
        <f>+VLOOKUP(C55,Hoja1!$A$1:$M$82,13,0)</f>
        <v>1</v>
      </c>
      <c r="L55" s="590"/>
      <c r="M55" s="60"/>
      <c r="N55" s="40"/>
      <c r="O55" s="40"/>
      <c r="P55" s="40"/>
      <c r="Q55" s="40"/>
      <c r="R55" s="40"/>
      <c r="S55" s="40"/>
    </row>
    <row r="56" spans="2:19" s="36" customFormat="1" ht="99.75" customHeight="1" x14ac:dyDescent="0.2">
      <c r="B56" s="115">
        <f t="shared" si="0"/>
        <v>42</v>
      </c>
      <c r="C56" s="160" t="str">
        <f>+IFERROR(INDEX(Hoja1!$A$2:$A$82,MATCH(J56,Hoja1!$H$2:$H$82,0)),"")</f>
        <v>10.2</v>
      </c>
      <c r="D56" s="161" t="str">
        <f>IFERROR(VLOOKUP(C56,Hoja1!$A$2:$H$82,4,0),"")</f>
        <v>Actividades de control</v>
      </c>
      <c r="E56" s="161" t="str">
        <f>+IFERROR(VLOOKUP(C56,Hoja1!$A$1:$J$82,10,0),"")</f>
        <v>Diseño y desarrollo de actividades de control (Integra el desarrollo de controles con la evaluación de riesgos; tiene en cuenta a qué nivel se aplican las actividades; facilita la segregación de funciones).</v>
      </c>
      <c r="F56" s="161" t="str">
        <f>+IFERROR(VLOOKUP(C56,Hoja1!$A$1:$I$82,3,0),"")</f>
        <v xml:space="preserve"> Se han idenfificado y documentado las situaciones específicas en donde no es posible segregar adecuadamente las funciones (ej: falta de personal, presupuesto), con el fin de definir actividades de control alternativas para cubrir los riesgos identificados.</v>
      </c>
      <c r="G56" s="160">
        <f>+IFERROR(VLOOKUP(C56,Hoja1!$A$1:$K$82,11,0),"")</f>
        <v>3</v>
      </c>
      <c r="H56" s="162">
        <f>+IFERROR(VLOOKUP(C56,Hoja1!$A$1:$L$82,12,0),"")</f>
        <v>2</v>
      </c>
      <c r="I56" s="159" t="str">
        <f t="shared" si="1"/>
        <v>Se encuentra presente y funcionando, pero requiere acciones dirigidas a fortalecer  o mejorar su diseño y/o ejecucion.</v>
      </c>
      <c r="J56" s="63">
        <v>42</v>
      </c>
      <c r="K56" s="111">
        <f>+VLOOKUP(C56,Hoja1!$A$1:$M$82,13,0)</f>
        <v>0.5</v>
      </c>
      <c r="L56" s="590">
        <f>+AVERAGE(K56:K67)</f>
        <v>0.91666666666666663</v>
      </c>
      <c r="M56" s="60"/>
      <c r="N56" s="40"/>
      <c r="O56" s="40"/>
      <c r="P56" s="40"/>
      <c r="Q56" s="40"/>
      <c r="R56" s="40"/>
      <c r="S56" s="40"/>
    </row>
    <row r="57" spans="2:19" s="36" customFormat="1" ht="99.75" customHeight="1" x14ac:dyDescent="0.2">
      <c r="B57" s="114">
        <f t="shared" si="0"/>
        <v>43</v>
      </c>
      <c r="C57" s="160" t="str">
        <f>+IFERROR(INDEX(Hoja1!$A$2:$A$82,MATCH(J57,Hoja1!$H$2:$H$82,0)),"")</f>
        <v>11.2</v>
      </c>
      <c r="D57" s="161" t="str">
        <f>IFERROR(VLOOKUP(C57,Hoja1!$A$2:$H$82,4,0),"")</f>
        <v>Actividades de control</v>
      </c>
      <c r="E57" s="161" t="str">
        <f>+IFERROR(VLOOKUP(C57,Hoja1!$A$1:$J$82,10,0),"")</f>
        <v>Seleccionar y Desarrolla controles generales sobre TI para apoyar la consecución de los objetivos .</v>
      </c>
      <c r="F57" s="161" t="str">
        <f>+IFERROR(VLOOKUP(C57,Hoja1!$A$1:$I$82,3,0),"")</f>
        <v xml:space="preserve">  Para los proveedores de tecnología  selecciona y desarrolla actividades de control internas sobre las actividades realizadas por el proveedor de servicios</v>
      </c>
      <c r="G57" s="160">
        <f>+IFERROR(VLOOKUP(C57,Hoja1!$A$1:$K$82,11,0),"")</f>
        <v>3</v>
      </c>
      <c r="H57" s="162">
        <f>+IFERROR(VLOOKUP(C57,Hoja1!$A$1:$L$82,12,0),"")</f>
        <v>2</v>
      </c>
      <c r="I57" s="159" t="str">
        <f t="shared" si="1"/>
        <v>Se encuentra presente y funcionando, pero requiere acciones dirigidas a fortalecer  o mejorar su diseño y/o ejecucion.</v>
      </c>
      <c r="J57" s="63">
        <v>43</v>
      </c>
      <c r="K57" s="111">
        <f>+VLOOKUP(C57,Hoja1!$A$1:$M$82,13,0)</f>
        <v>0.5</v>
      </c>
      <c r="L57" s="590"/>
      <c r="M57" s="60"/>
      <c r="N57" s="40"/>
      <c r="O57" s="40"/>
      <c r="P57" s="40"/>
      <c r="Q57" s="40"/>
      <c r="R57" s="40"/>
      <c r="S57" s="40"/>
    </row>
    <row r="58" spans="2:19" s="36" customFormat="1" ht="99.75" customHeight="1" x14ac:dyDescent="0.2">
      <c r="B58" s="114">
        <f t="shared" si="0"/>
        <v>44</v>
      </c>
      <c r="C58" s="160" t="str">
        <f>+IFERROR(INDEX(Hoja1!$A$2:$A$82,MATCH(J58,Hoja1!$H$2:$H$82,0)),"")</f>
        <v>10.1</v>
      </c>
      <c r="D58" s="161" t="str">
        <f>IFERROR(VLOOKUP(C58,Hoja1!$A$2:$H$82,4,0),"")</f>
        <v>Actividades de control</v>
      </c>
      <c r="E58" s="161" t="str">
        <f>+IFERROR(VLOOKUP(C58,Hoja1!$A$1:$J$82,10,0),"")</f>
        <v>Diseño y desarrollo de actividades de control (Integra el desarrollo de controles con la evaluación de riesgos; tiene en cuenta a qué nivel se aplican las actividades; facilita la segregación de funciones).</v>
      </c>
      <c r="F58" s="161" t="str">
        <f>+IFERROR(VLOOKUP(C58,Hoja1!$A$1:$I$82,3,0),"")</f>
        <v xml:space="preserve"> Para el desarrollo de las actividades de control, la entidad considera la adecuada división de las funciones y que éstas se encuentren segregadas en diferentes personas para reducir el riesgo de error o de incumplimientos de alto impacto en la operación</v>
      </c>
      <c r="G58" s="160">
        <f>+IFERROR(VLOOKUP(C58,Hoja1!$A$1:$K$82,11,0),"")</f>
        <v>3</v>
      </c>
      <c r="H58" s="162">
        <f>+IFERROR(VLOOKUP(C58,Hoja1!$A$1:$L$82,12,0),"")</f>
        <v>3</v>
      </c>
      <c r="I58" s="159" t="str">
        <f t="shared" si="1"/>
        <v>Se encuentra presente y funciona correctamente, por lo tanto se requiere acciones o actividades  dirigidas a su mantenimiento dentro del marco de las lineas de defensa.</v>
      </c>
      <c r="J58" s="63">
        <v>44</v>
      </c>
      <c r="K58" s="111">
        <f>+VLOOKUP(C58,Hoja1!$A$1:$M$82,13,0)</f>
        <v>1</v>
      </c>
      <c r="L58" s="590"/>
      <c r="M58" s="60"/>
      <c r="N58" s="40"/>
      <c r="O58" s="40"/>
      <c r="P58" s="40"/>
      <c r="Q58" s="40"/>
      <c r="R58" s="40"/>
      <c r="S58" s="40"/>
    </row>
    <row r="59" spans="2:19" s="36" customFormat="1" ht="99.75" customHeight="1" x14ac:dyDescent="0.2">
      <c r="B59" s="114">
        <f t="shared" si="0"/>
        <v>45</v>
      </c>
      <c r="C59" s="160" t="str">
        <f>+IFERROR(INDEX(Hoja1!$A$2:$A$82,MATCH(J59,Hoja1!$H$2:$H$82,0)),"")</f>
        <v>10.3</v>
      </c>
      <c r="D59" s="161" t="str">
        <f>IFERROR(VLOOKUP(C59,Hoja1!$A$2:$H$82,4,0),"")</f>
        <v>Actividades de control</v>
      </c>
      <c r="E59" s="161" t="str">
        <f>+IFERROR(VLOOKUP(C59,Hoja1!$A$1:$J$82,10,0),"")</f>
        <v>Diseño y desarrollo de actividades de control (Integra el desarrollo de controles con la evaluación de riesgos; tiene en cuenta a qué nivel se aplican las actividades; facilita la segregación de funciones).</v>
      </c>
      <c r="F59" s="161" t="str">
        <f>+IFERROR(VLOOKUP(C59,Hoja1!$A$1:$I$82,3,0),"")</f>
        <v xml:space="preserve"> El diseño de otros  sistemas de gestión (bajo normas o estándares internacionales como la ISO), se intregan de forma adecuada a la estructura de control de la entidad</v>
      </c>
      <c r="G59" s="160">
        <f>+IFERROR(VLOOKUP(C59,Hoja1!$A$1:$K$82,11,0),"")</f>
        <v>3</v>
      </c>
      <c r="H59" s="162">
        <f>+IFERROR(VLOOKUP(C59,Hoja1!$A$1:$L$82,12,0),"")</f>
        <v>3</v>
      </c>
      <c r="I59" s="159" t="str">
        <f t="shared" si="1"/>
        <v>Se encuentra presente y funciona correctamente, por lo tanto se requiere acciones o actividades  dirigidas a su mantenimiento dentro del marco de las lineas de defensa.</v>
      </c>
      <c r="J59" s="63">
        <v>45</v>
      </c>
      <c r="K59" s="111">
        <f>+VLOOKUP(C59,Hoja1!$A$1:$M$82,13,0)</f>
        <v>1</v>
      </c>
      <c r="L59" s="590"/>
      <c r="M59" s="60"/>
      <c r="N59" s="40"/>
      <c r="O59" s="40"/>
      <c r="P59" s="40"/>
      <c r="Q59" s="40"/>
      <c r="R59" s="40"/>
      <c r="S59" s="40"/>
    </row>
    <row r="60" spans="2:19" s="36" customFormat="1" ht="99.75" customHeight="1" x14ac:dyDescent="0.2">
      <c r="B60" s="115">
        <f t="shared" si="0"/>
        <v>46</v>
      </c>
      <c r="C60" s="160" t="str">
        <f>+IFERROR(INDEX(Hoja1!$A$2:$A$82,MATCH(J60,Hoja1!$H$2:$H$82,0)),"")</f>
        <v>11.1</v>
      </c>
      <c r="D60" s="161" t="str">
        <f>IFERROR(VLOOKUP(C60,Hoja1!$A$2:$H$82,4,0),"")</f>
        <v>Actividades de control</v>
      </c>
      <c r="E60" s="161" t="str">
        <f>+IFERROR(VLOOKUP(C60,Hoja1!$A$1:$J$82,10,0),"")</f>
        <v>Seleccionar y Desarrolla controles generales sobre TI para apoyar la consecución de los objetivos .</v>
      </c>
      <c r="F60" s="161" t="str">
        <f>+IFERROR(VLOOKUP(C60,Hoja1!$A$1:$I$82,3,0),"")</f>
        <v xml:space="preserve"> La entidad establece actividades de control relevantes sobre las infraestructuras tecnológicas; los procesos de gestión de la seguridad y sobre los procesos de adquisición, desarrollo y mantenimiento de tecnologías</v>
      </c>
      <c r="G60" s="160">
        <f>+IFERROR(VLOOKUP(C60,Hoja1!$A$1:$K$82,11,0),"")</f>
        <v>3</v>
      </c>
      <c r="H60" s="162">
        <f>+IFERROR(VLOOKUP(C60,Hoja1!$A$1:$L$82,12,0),"")</f>
        <v>3</v>
      </c>
      <c r="I60" s="159" t="str">
        <f t="shared" si="1"/>
        <v>Se encuentra presente y funciona correctamente, por lo tanto se requiere acciones o actividades  dirigidas a su mantenimiento dentro del marco de las lineas de defensa.</v>
      </c>
      <c r="J60" s="63">
        <v>46</v>
      </c>
      <c r="K60" s="111">
        <f>+VLOOKUP(C60,Hoja1!$A$1:$M$82,13,0)</f>
        <v>1</v>
      </c>
      <c r="L60" s="590"/>
      <c r="M60" s="60"/>
      <c r="N60" s="40"/>
      <c r="O60" s="40"/>
      <c r="P60" s="40"/>
      <c r="Q60" s="40"/>
      <c r="R60" s="40"/>
      <c r="S60" s="40"/>
    </row>
    <row r="61" spans="2:19" s="36" customFormat="1" ht="99.75" customHeight="1" x14ac:dyDescent="0.2">
      <c r="B61" s="114">
        <f t="shared" si="0"/>
        <v>47</v>
      </c>
      <c r="C61" s="160" t="str">
        <f>+IFERROR(INDEX(Hoja1!$A$2:$A$82,MATCH(J61,Hoja1!$H$2:$H$82,0)),"")</f>
        <v>11.3</v>
      </c>
      <c r="D61" s="161" t="str">
        <f>IFERROR(VLOOKUP(C61,Hoja1!$A$2:$H$82,4,0),"")</f>
        <v>Actividades de control</v>
      </c>
      <c r="E61" s="161" t="str">
        <f>+IFERROR(VLOOKUP(C61,Hoja1!$A$1:$J$82,10,0),"")</f>
        <v>Seleccionar y Desarrolla controles generales sobre TI para apoyar la consecución de los objetivos .</v>
      </c>
      <c r="F61" s="161" t="str">
        <f>+IFERROR(VLOOKUP(C61,Hoja1!$A$1:$I$82,3,0),"")</f>
        <v xml:space="preserve"> Se cuenta con matrices de roles y usuarios siguiendo los principios de segregación de funciones.</v>
      </c>
      <c r="G61" s="160">
        <f>+IFERROR(VLOOKUP(C61,Hoja1!$A$1:$K$82,11,0),"")</f>
        <v>3</v>
      </c>
      <c r="H61" s="162">
        <f>+IFERROR(VLOOKUP(C61,Hoja1!$A$1:$L$82,12,0),"")</f>
        <v>3</v>
      </c>
      <c r="I61" s="159" t="str">
        <f t="shared" si="1"/>
        <v>Se encuentra presente y funciona correctamente, por lo tanto se requiere acciones o actividades  dirigidas a su mantenimiento dentro del marco de las lineas de defensa.</v>
      </c>
      <c r="J61" s="63">
        <v>47</v>
      </c>
      <c r="K61" s="111">
        <f>+VLOOKUP(C61,Hoja1!$A$1:$M$82,13,0)</f>
        <v>1</v>
      </c>
      <c r="L61" s="590"/>
      <c r="M61" s="60"/>
      <c r="N61" s="40"/>
      <c r="O61" s="40"/>
      <c r="P61" s="40"/>
      <c r="Q61" s="40"/>
      <c r="R61" s="40"/>
      <c r="S61" s="40"/>
    </row>
    <row r="62" spans="2:19" s="36" customFormat="1" ht="99.75" customHeight="1" x14ac:dyDescent="0.2">
      <c r="B62" s="115">
        <f t="shared" si="0"/>
        <v>48</v>
      </c>
      <c r="C62" s="160" t="str">
        <f>+IFERROR(INDEX(Hoja1!$A$2:$A$82,MATCH(J62,Hoja1!$H$2:$H$82,0)),"")</f>
        <v>11.4</v>
      </c>
      <c r="D62" s="161" t="str">
        <f>IFERROR(VLOOKUP(C62,Hoja1!$A$2:$H$82,4,0),"")</f>
        <v>Actividades de control</v>
      </c>
      <c r="E62" s="161" t="str">
        <f>+IFERROR(VLOOKUP(C62,Hoja1!$A$1:$J$82,10,0),"")</f>
        <v>Seleccionar y Desarrolla controles generales sobre TI para apoyar la consecución de los objetivos .</v>
      </c>
      <c r="F62" s="161" t="str">
        <f>+IFERROR(VLOOKUP(C62,Hoja1!$A$1:$I$82,3,0),"")</f>
        <v xml:space="preserve"> Se cuenta con información de la 3a línea de defensa, como evaluador independiente en relación con los controles implementados por el proveedor de servicios, para  asegurar que los riesgos relacionados se mitigan.</v>
      </c>
      <c r="G62" s="160">
        <f>+IFERROR(VLOOKUP(C62,Hoja1!$A$1:$K$82,11,0),"")</f>
        <v>3</v>
      </c>
      <c r="H62" s="162">
        <f>+IFERROR(VLOOKUP(C62,Hoja1!$A$1:$L$82,12,0),"")</f>
        <v>3</v>
      </c>
      <c r="I62" s="159" t="str">
        <f t="shared" si="1"/>
        <v>Se encuentra presente y funciona correctamente, por lo tanto se requiere acciones o actividades  dirigidas a su mantenimiento dentro del marco de las lineas de defensa.</v>
      </c>
      <c r="J62" s="63">
        <v>48</v>
      </c>
      <c r="K62" s="111">
        <f>+VLOOKUP(C62,Hoja1!$A$1:$M$82,13,0)</f>
        <v>1</v>
      </c>
      <c r="L62" s="590"/>
      <c r="M62" s="60"/>
      <c r="N62" s="40"/>
      <c r="O62" s="40"/>
      <c r="P62" s="40"/>
      <c r="Q62" s="40"/>
      <c r="R62" s="40"/>
      <c r="S62" s="40"/>
    </row>
    <row r="63" spans="2:19" s="36" customFormat="1" ht="99.75" customHeight="1" x14ac:dyDescent="0.2">
      <c r="B63" s="114">
        <f t="shared" si="0"/>
        <v>49</v>
      </c>
      <c r="C63" s="160" t="str">
        <f>+IFERROR(INDEX(Hoja1!$A$2:$A$82,MATCH(J63,Hoja1!$H$2:$H$82,0)),"")</f>
        <v>12.1</v>
      </c>
      <c r="D63" s="161" t="str">
        <f>IFERROR(VLOOKUP(C63,Hoja1!$A$2:$H$82,4,0),"")</f>
        <v>Actividades de control</v>
      </c>
      <c r="E63" s="161" t="str">
        <f>+IFERROR(VLOOKUP(C63,Hoja1!$A$1:$J$82,10,0),"")</f>
        <v>Despliegue de políticas y procedimientos (Establece responsabilidades sobre la ejecución de las políticas y procedimientos; Adopta medidas correctivas; Revisa las políticas y procedimientos).</v>
      </c>
      <c r="F63" s="161" t="str">
        <f>+IFERROR(VLOOKUP(C63,Hoja1!$A$1:$I$82,3,0),"")</f>
        <v xml:space="preserve"> Se evalúa la actualización de procesos, procedimientos, políticas de operación, instructivos, manuales u otras herramientas para garantizar la aplicación adecuada de las principales actividades de control.
</v>
      </c>
      <c r="G63" s="160">
        <f>+IFERROR(VLOOKUP(C63,Hoja1!$A$1:$K$82,11,0),"")</f>
        <v>3</v>
      </c>
      <c r="H63" s="162">
        <f>+IFERROR(VLOOKUP(C63,Hoja1!$A$1:$L$82,12,0),"")</f>
        <v>3</v>
      </c>
      <c r="I63" s="159" t="str">
        <f t="shared" si="1"/>
        <v>Se encuentra presente y funciona correctamente, por lo tanto se requiere acciones o actividades  dirigidas a su mantenimiento dentro del marco de las lineas de defensa.</v>
      </c>
      <c r="J63" s="63">
        <v>49</v>
      </c>
      <c r="K63" s="111">
        <f>+VLOOKUP(C63,Hoja1!$A$1:$M$82,13,0)</f>
        <v>1</v>
      </c>
      <c r="L63" s="590"/>
      <c r="M63" s="60"/>
      <c r="N63" s="40"/>
      <c r="O63" s="40"/>
      <c r="P63" s="40"/>
      <c r="Q63" s="40"/>
      <c r="R63" s="40"/>
      <c r="S63" s="40"/>
    </row>
    <row r="64" spans="2:19" s="36" customFormat="1" ht="99.75" customHeight="1" x14ac:dyDescent="0.2">
      <c r="B64" s="114">
        <f t="shared" si="0"/>
        <v>50</v>
      </c>
      <c r="C64" s="160" t="str">
        <f>+IFERROR(INDEX(Hoja1!$A$2:$A$82,MATCH(J64,Hoja1!$H$2:$H$82,0)),"")</f>
        <v>12.2</v>
      </c>
      <c r="D64" s="161" t="str">
        <f>IFERROR(VLOOKUP(C64,Hoja1!$A$2:$H$82,4,0),"")</f>
        <v>Actividades de control</v>
      </c>
      <c r="E64" s="161" t="str">
        <f>+IFERROR(VLOOKUP(C64,Hoja1!$A$1:$J$82,10,0),"")</f>
        <v>Despliegue de políticas y procedimientos (Establece responsabilidades sobre la ejecución de las políticas y procedimientos; Adopta medidas correctivas; Revisa las políticas y procedimientos).</v>
      </c>
      <c r="F64" s="161" t="str">
        <f>+IFERROR(VLOOKUP(C64,Hoja1!$A$1:$I$82,3,0),"")</f>
        <v xml:space="preserve"> El diseño de controles se evalúa frente a la gestión del riesgo</v>
      </c>
      <c r="G64" s="160">
        <f>+IFERROR(VLOOKUP(C64,Hoja1!$A$1:$K$82,11,0),"")</f>
        <v>3</v>
      </c>
      <c r="H64" s="162">
        <f>+IFERROR(VLOOKUP(C64,Hoja1!$A$1:$L$82,12,0),"")</f>
        <v>3</v>
      </c>
      <c r="I64" s="159" t="str">
        <f t="shared" si="1"/>
        <v>Se encuentra presente y funciona correctamente, por lo tanto se requiere acciones o actividades  dirigidas a su mantenimiento dentro del marco de las lineas de defensa.</v>
      </c>
      <c r="J64" s="63">
        <v>50</v>
      </c>
      <c r="K64" s="111">
        <f>+VLOOKUP(C64,Hoja1!$A$1:$M$82,13,0)</f>
        <v>1</v>
      </c>
      <c r="L64" s="590"/>
      <c r="M64" s="60"/>
      <c r="N64" s="40"/>
      <c r="O64" s="40"/>
      <c r="P64" s="40"/>
      <c r="Q64" s="40"/>
      <c r="R64" s="40"/>
      <c r="S64" s="40"/>
    </row>
    <row r="65" spans="2:19" s="36" customFormat="1" ht="99.75" customHeight="1" x14ac:dyDescent="0.2">
      <c r="B65" s="114">
        <f t="shared" si="0"/>
        <v>51</v>
      </c>
      <c r="C65" s="160" t="str">
        <f>+IFERROR(INDEX(Hoja1!$A$2:$A$82,MATCH(J65,Hoja1!$H$2:$H$82,0)),"")</f>
        <v>12.3</v>
      </c>
      <c r="D65" s="161" t="str">
        <f>IFERROR(VLOOKUP(C65,Hoja1!$A$2:$H$82,4,0),"")</f>
        <v>Actividades de control</v>
      </c>
      <c r="E65" s="161" t="str">
        <f>+IFERROR(VLOOKUP(C65,Hoja1!$A$1:$J$82,10,0),"")</f>
        <v>Despliegue de políticas y procedimientos (Establece responsabilidades sobre la ejecución de las políticas y procedimientos; Adopta medidas correctivas; Revisa las políticas y procedimientos).</v>
      </c>
      <c r="F65" s="161" t="str">
        <f>+IFERROR(VLOOKUP(C65,Hoja1!$A$1:$I$82,3,0),"")</f>
        <v xml:space="preserve"> Monitoreo a los riesgos acorde con la política de administración de riesgo establecida para la entidad.</v>
      </c>
      <c r="G65" s="160">
        <f>+IFERROR(VLOOKUP(C65,Hoja1!$A$1:$K$82,11,0),"")</f>
        <v>3</v>
      </c>
      <c r="H65" s="162">
        <f>+IFERROR(VLOOKUP(C65,Hoja1!$A$1:$L$82,12,0),"")</f>
        <v>3</v>
      </c>
      <c r="I65" s="159" t="str">
        <f t="shared" si="1"/>
        <v>Se encuentra presente y funciona correctamente, por lo tanto se requiere acciones o actividades  dirigidas a su mantenimiento dentro del marco de las lineas de defensa.</v>
      </c>
      <c r="J65" s="63">
        <v>51</v>
      </c>
      <c r="K65" s="111">
        <f>+VLOOKUP(C65,Hoja1!$A$1:$M$82,13,0)</f>
        <v>1</v>
      </c>
      <c r="L65" s="590"/>
      <c r="M65" s="60"/>
      <c r="N65" s="40"/>
      <c r="O65" s="40"/>
      <c r="P65" s="40"/>
      <c r="Q65" s="40"/>
      <c r="R65" s="40"/>
      <c r="S65" s="40"/>
    </row>
    <row r="66" spans="2:19" s="36" customFormat="1" ht="99.75" customHeight="1" x14ac:dyDescent="0.2">
      <c r="B66" s="115">
        <f t="shared" si="0"/>
        <v>52</v>
      </c>
      <c r="C66" s="160" t="str">
        <f>+IFERROR(INDEX(Hoja1!$A$2:$A$82,MATCH(J66,Hoja1!$H$2:$H$82,0)),"")</f>
        <v>12.4</v>
      </c>
      <c r="D66" s="161" t="str">
        <f>IFERROR(VLOOKUP(C66,Hoja1!$A$2:$H$82,4,0),"")</f>
        <v>Actividades de control</v>
      </c>
      <c r="E66" s="161" t="str">
        <f>+IFERROR(VLOOKUP(C66,Hoja1!$A$1:$J$82,10,0),"")</f>
        <v>Despliegue de políticas y procedimientos (Establece responsabilidades sobre la ejecución de las políticas y procedimientos; Adopta medidas correctivas; Revisa las políticas y procedimientos).</v>
      </c>
      <c r="F66" s="161" t="str">
        <f>+IFERROR(VLOOKUP(C66,Hoja1!$A$1:$I$82,3,0),"")</f>
        <v>Verificación de que los responsables estén ejecutando los controles tal como han sido diseñados</v>
      </c>
      <c r="G66" s="160">
        <f>+IFERROR(VLOOKUP(C66,Hoja1!$A$1:$K$82,11,0),"")</f>
        <v>3</v>
      </c>
      <c r="H66" s="162">
        <f>+IFERROR(VLOOKUP(C66,Hoja1!$A$1:$L$82,12,0),"")</f>
        <v>3</v>
      </c>
      <c r="I66" s="159" t="str">
        <f t="shared" si="1"/>
        <v>Se encuentra presente y funciona correctamente, por lo tanto se requiere acciones o actividades  dirigidas a su mantenimiento dentro del marco de las lineas de defensa.</v>
      </c>
      <c r="J66" s="63">
        <v>52</v>
      </c>
      <c r="K66" s="111">
        <f>+VLOOKUP(C66,Hoja1!$A$1:$M$82,13,0)</f>
        <v>1</v>
      </c>
      <c r="L66" s="590"/>
      <c r="M66" s="60"/>
      <c r="N66" s="40"/>
      <c r="O66" s="40"/>
      <c r="P66" s="40"/>
      <c r="Q66" s="40"/>
      <c r="R66" s="40"/>
      <c r="S66" s="40"/>
    </row>
    <row r="67" spans="2:19" s="36" customFormat="1" ht="99.75" customHeight="1" x14ac:dyDescent="0.2">
      <c r="B67" s="114">
        <f t="shared" si="0"/>
        <v>53</v>
      </c>
      <c r="C67" s="160" t="str">
        <f>+IFERROR(INDEX(Hoja1!$A$2:$A$82,MATCH(J67,Hoja1!$H$2:$H$82,0)),"")</f>
        <v>12.5</v>
      </c>
      <c r="D67" s="161" t="str">
        <f>IFERROR(VLOOKUP(C67,Hoja1!$A$2:$H$82,4,0),"")</f>
        <v>Actividades de control</v>
      </c>
      <c r="E67" s="161" t="str">
        <f>+IFERROR(VLOOKUP(C67,Hoja1!$A$1:$J$82,10,0),"")</f>
        <v>Despliegue de políticas y procedimientos (Establece responsabilidades sobre la ejecución de las políticas y procedimientos; Adopta medidas correctivas; Revisa las políticas y procedimientos).</v>
      </c>
      <c r="F67" s="161" t="str">
        <f>+IFERROR(VLOOKUP(C67,Hoja1!$A$1:$I$82,3,0),"")</f>
        <v xml:space="preserve"> Se evalúa la adecuación de los controles a las especificidades de cada proceso, considerando cambios en regulaciones, estructuras internas u otros aspectos que determinen cambios en su diseño</v>
      </c>
      <c r="G67" s="160">
        <f>+IFERROR(VLOOKUP(C67,Hoja1!$A$1:$K$82,11,0),"")</f>
        <v>3</v>
      </c>
      <c r="H67" s="162">
        <f>+IFERROR(VLOOKUP(C67,Hoja1!$A$1:$L$82,12,0),"")</f>
        <v>3</v>
      </c>
      <c r="I67" s="159" t="str">
        <f t="shared" si="1"/>
        <v>Se encuentra presente y funciona correctamente, por lo tanto se requiere acciones o actividades  dirigidas a su mantenimiento dentro del marco de las lineas de defensa.</v>
      </c>
      <c r="J67" s="63">
        <v>53</v>
      </c>
      <c r="K67" s="111">
        <f>+VLOOKUP(C67,Hoja1!$A$1:$M$82,13,0)</f>
        <v>1</v>
      </c>
      <c r="L67" s="590"/>
      <c r="M67" s="60"/>
      <c r="N67" s="40"/>
      <c r="O67" s="40"/>
      <c r="P67" s="40"/>
      <c r="Q67" s="40"/>
      <c r="R67" s="40"/>
      <c r="S67" s="40"/>
    </row>
    <row r="68" spans="2:19" s="36" customFormat="1" ht="99.75" customHeight="1" x14ac:dyDescent="0.2">
      <c r="B68" s="115">
        <f t="shared" si="0"/>
        <v>54</v>
      </c>
      <c r="C68" s="160" t="str">
        <f>+IFERROR(INDEX(Hoja1!$A$2:$A$82,MATCH(J68,Hoja1!$H$2:$H$82,0)),"")</f>
        <v>13.1</v>
      </c>
      <c r="D68" s="161" t="str">
        <f>IFERROR(VLOOKUP(C68,Hoja1!$A$2:$H$82,4,0),"")</f>
        <v>Info y Comunicación</v>
      </c>
      <c r="E68" s="161" t="str">
        <f>+IFERROR(VLOOKUP(C68,Hoja1!$A$1:$J$82,10,0),"")</f>
        <v>Utilización de información relevante (Identifica requisitos de información; Capta fuentes de datos internas y externas; Procesa datos relevantes y los transforma en información).</v>
      </c>
      <c r="F68" s="161" t="str">
        <f>+IFERROR(VLOOKUP(C68,Hoja1!$A$1:$I$82,3,0),"")</f>
        <v>La entidad ha diseñado sistemas de información para capturar y procesar datos y transformarlos en información para alcanzar los requerimientos de información definidos</v>
      </c>
      <c r="G68" s="160">
        <f>+IFERROR(VLOOKUP(C68,Hoja1!$A$1:$K$82,11,0),"")</f>
        <v>3</v>
      </c>
      <c r="H68" s="162">
        <f>+IFERROR(VLOOKUP(C68,Hoja1!$A$1:$L$82,12,0),"")</f>
        <v>3</v>
      </c>
      <c r="I68" s="159" t="str">
        <f t="shared" si="1"/>
        <v>Se encuentra presente y funciona correctamente, por lo tanto se requiere acciones o actividades  dirigidas a su mantenimiento dentro del marco de las lineas de defensa.</v>
      </c>
      <c r="J68" s="63">
        <v>54</v>
      </c>
      <c r="K68" s="111">
        <f>+VLOOKUP(C68,Hoja1!$A$1:$M$82,13,0)</f>
        <v>1</v>
      </c>
      <c r="L68" s="590">
        <f>+AVERAGE(K68:K81)</f>
        <v>1</v>
      </c>
      <c r="M68" s="60"/>
      <c r="N68" s="40"/>
      <c r="O68" s="40"/>
      <c r="P68" s="40"/>
      <c r="Q68" s="40"/>
      <c r="R68" s="40"/>
      <c r="S68" s="40"/>
    </row>
    <row r="69" spans="2:19" s="36" customFormat="1" ht="99.75" customHeight="1" x14ac:dyDescent="0.2">
      <c r="B69" s="114">
        <f t="shared" si="0"/>
        <v>55</v>
      </c>
      <c r="C69" s="160" t="str">
        <f>+IFERROR(INDEX(Hoja1!$A$2:$A$82,MATCH(J69,Hoja1!$H$2:$H$82,0)),"")</f>
        <v>13.2</v>
      </c>
      <c r="D69" s="161" t="str">
        <f>IFERROR(VLOOKUP(C69,Hoja1!$A$2:$H$82,4,0),"")</f>
        <v>Info y Comunicación</v>
      </c>
      <c r="E69" s="161" t="str">
        <f>+IFERROR(VLOOKUP(C69,Hoja1!$A$1:$J$82,10,0),"")</f>
        <v>Utilización de información relevante (Identifica requisitos de información; Capta fuentes de datos internas y externas; Procesa datos relevantes y los transforma en información).</v>
      </c>
      <c r="F69" s="161" t="str">
        <f>+IFERROR(VLOOKUP(C69,Hoja1!$A$1:$I$82,3,0),"")</f>
        <v xml:space="preserve"> La entidad cuenta con el inventario de información relevante (interno/externa) y cuenta con un mecanismo que permita su actualización</v>
      </c>
      <c r="G69" s="160">
        <f>+IFERROR(VLOOKUP(C69,Hoja1!$A$1:$K$82,11,0),"")</f>
        <v>3</v>
      </c>
      <c r="H69" s="162">
        <f>+IFERROR(VLOOKUP(C69,Hoja1!$A$1:$L$82,12,0),"")</f>
        <v>3</v>
      </c>
      <c r="I69" s="159" t="str">
        <f t="shared" si="1"/>
        <v>Se encuentra presente y funciona correctamente, por lo tanto se requiere acciones o actividades  dirigidas a su mantenimiento dentro del marco de las lineas de defensa.</v>
      </c>
      <c r="J69" s="63">
        <v>55</v>
      </c>
      <c r="K69" s="111">
        <f>+VLOOKUP(C69,Hoja1!$A$1:$M$82,13,0)</f>
        <v>1</v>
      </c>
      <c r="L69" s="590"/>
      <c r="M69" s="60"/>
      <c r="N69" s="40"/>
      <c r="O69" s="40"/>
      <c r="P69" s="40"/>
      <c r="Q69" s="40"/>
      <c r="R69" s="40"/>
      <c r="S69" s="40"/>
    </row>
    <row r="70" spans="2:19" s="36" customFormat="1" ht="99.75" customHeight="1" x14ac:dyDescent="0.2">
      <c r="B70" s="114">
        <f t="shared" si="0"/>
        <v>56</v>
      </c>
      <c r="C70" s="160" t="str">
        <f>+IFERROR(INDEX(Hoja1!$A$2:$A$82,MATCH(J70,Hoja1!$H$2:$H$82,0)),"")</f>
        <v>13.3</v>
      </c>
      <c r="D70" s="161" t="str">
        <f>IFERROR(VLOOKUP(C70,Hoja1!$A$2:$H$82,4,0),"")</f>
        <v>Info y Comunicación</v>
      </c>
      <c r="E70" s="161" t="str">
        <f>+IFERROR(VLOOKUP(C70,Hoja1!$A$1:$J$82,10,0),"")</f>
        <v>Utilización de información relevante (Identifica requisitos de información; Capta fuentes de datos internas y externas; Procesa datos relevantes y los transforma en información).</v>
      </c>
      <c r="F70" s="161" t="str">
        <f>+IFERROR(VLOOKUP(C70,Hoja1!$A$1:$I$82,3,0),"")</f>
        <v>La entidad considera un ámbito amplio de fuentes de datos (internas y externas), para la captura y procesamiento posterior de información clave para la consecución de metas y objetivos</v>
      </c>
      <c r="G70" s="160">
        <f>+IFERROR(VLOOKUP(C70,Hoja1!$A$1:$K$82,11,0),"")</f>
        <v>3</v>
      </c>
      <c r="H70" s="162">
        <f>+IFERROR(VLOOKUP(C70,Hoja1!$A$1:$L$82,12,0),"")</f>
        <v>3</v>
      </c>
      <c r="I70" s="159" t="str">
        <f t="shared" si="1"/>
        <v>Se encuentra presente y funciona correctamente, por lo tanto se requiere acciones o actividades  dirigidas a su mantenimiento dentro del marco de las lineas de defensa.</v>
      </c>
      <c r="J70" s="63">
        <v>56</v>
      </c>
      <c r="K70" s="111">
        <f>+VLOOKUP(C70,Hoja1!$A$1:$M$82,13,0)</f>
        <v>1</v>
      </c>
      <c r="L70" s="590"/>
      <c r="M70" s="60"/>
      <c r="N70" s="40"/>
      <c r="O70" s="40"/>
      <c r="P70" s="40"/>
      <c r="Q70" s="40"/>
      <c r="R70" s="40"/>
      <c r="S70" s="40"/>
    </row>
    <row r="71" spans="2:19" s="36" customFormat="1" ht="99.75" customHeight="1" x14ac:dyDescent="0.2">
      <c r="B71" s="114">
        <f t="shared" si="0"/>
        <v>57</v>
      </c>
      <c r="C71" s="160" t="str">
        <f>+IFERROR(INDEX(Hoja1!$A$2:$A$82,MATCH(J71,Hoja1!$H$2:$H$82,0)),"")</f>
        <v>13.4</v>
      </c>
      <c r="D71" s="161" t="str">
        <f>IFERROR(VLOOKUP(C71,Hoja1!$A$2:$H$82,4,0),"")</f>
        <v>Info y Comunicación</v>
      </c>
      <c r="E71" s="161" t="str">
        <f>+IFERROR(VLOOKUP(C71,Hoja1!$A$1:$J$82,10,0),"")</f>
        <v>Utilización de información relevante (Identifica requisitos de información; Capta fuentes de datos internas y externas; Procesa datos relevantes y los transforma en información).</v>
      </c>
      <c r="F71" s="161" t="str">
        <f>+IFERROR(VLOOKUP(C71,Hoja1!$A$1:$I$82,3,0),"")</f>
        <v>La entidad ha desarrollado e implementado actividades de control sobre la integridad, confidencialidad y disponibilidad de los datos e información definidos como relevantes</v>
      </c>
      <c r="G71" s="160">
        <f>+IFERROR(VLOOKUP(C71,Hoja1!$A$1:$K$82,11,0),"")</f>
        <v>3</v>
      </c>
      <c r="H71" s="162">
        <f>+IFERROR(VLOOKUP(C71,Hoja1!$A$1:$L$82,12,0),"")</f>
        <v>3</v>
      </c>
      <c r="I71" s="159" t="str">
        <f t="shared" si="1"/>
        <v>Se encuentra presente y funciona correctamente, por lo tanto se requiere acciones o actividades  dirigidas a su mantenimiento dentro del marco de las lineas de defensa.</v>
      </c>
      <c r="J71" s="63">
        <v>57</v>
      </c>
      <c r="K71" s="111">
        <f>+VLOOKUP(C71,Hoja1!$A$1:$M$82,13,0)</f>
        <v>1</v>
      </c>
      <c r="L71" s="590"/>
      <c r="M71" s="60"/>
      <c r="N71" s="40"/>
      <c r="O71" s="40"/>
      <c r="P71" s="40"/>
      <c r="Q71" s="40"/>
      <c r="R71" s="40"/>
      <c r="S71" s="40"/>
    </row>
    <row r="72" spans="2:19" s="36" customFormat="1" ht="99.75" customHeight="1" x14ac:dyDescent="0.2">
      <c r="B72" s="115">
        <f t="shared" si="0"/>
        <v>58</v>
      </c>
      <c r="C72" s="160" t="str">
        <f>+IFERROR(INDEX(Hoja1!$A$2:$A$82,MATCH(J72,Hoja1!$H$2:$H$82,0)),"")</f>
        <v>14.1</v>
      </c>
      <c r="D72" s="161" t="str">
        <f>IFERROR(VLOOKUP(C72,Hoja1!$A$2:$H$82,4,0),"")</f>
        <v>Info y Comunicación</v>
      </c>
      <c r="E72" s="161" t="str">
        <f>+IFERROR(VLOOKUP(C72,Hoja1!$A$1:$J$82,10,0),"")</f>
        <v>Comunicación Interna (Se comunica con el Comité Institucional de Coordinación de Control Interno o su equivalente; Facilita líneas de comunicación en todos los niveles; Selecciona el método de comunicación pertinente).</v>
      </c>
      <c r="F72" s="161" t="str">
        <f>+IFERROR(VLOOKUP(C72,Hoja1!$A$1:$I$82,3,0),"")</f>
        <v>Para la comunicación interna la Alta Dirección tiene mecanismos que permitan dar a conocer los objetivos y metas estratégicas, de manera tal que todo el personal entiende su papel en su consecución. (Considera los canales más apropiados y evalúa su efectividad)</v>
      </c>
      <c r="G72" s="160">
        <f>+IFERROR(VLOOKUP(C72,Hoja1!$A$1:$K$82,11,0),"")</f>
        <v>3</v>
      </c>
      <c r="H72" s="162">
        <f>+IFERROR(VLOOKUP(C72,Hoja1!$A$1:$L$82,12,0),"")</f>
        <v>3</v>
      </c>
      <c r="I72" s="159" t="str">
        <f t="shared" si="1"/>
        <v>Se encuentra presente y funciona correctamente, por lo tanto se requiere acciones o actividades  dirigidas a su mantenimiento dentro del marco de las lineas de defensa.</v>
      </c>
      <c r="J72" s="63">
        <v>58</v>
      </c>
      <c r="K72" s="111">
        <f>+VLOOKUP(C72,Hoja1!$A$1:$M$82,13,0)</f>
        <v>1</v>
      </c>
      <c r="L72" s="590"/>
      <c r="M72" s="60"/>
      <c r="N72" s="40"/>
      <c r="O72" s="40"/>
      <c r="P72" s="40"/>
      <c r="Q72" s="40"/>
      <c r="R72" s="40"/>
      <c r="S72" s="40"/>
    </row>
    <row r="73" spans="2:19" s="36" customFormat="1" ht="99.75" customHeight="1" x14ac:dyDescent="0.2">
      <c r="B73" s="114">
        <f t="shared" si="0"/>
        <v>59</v>
      </c>
      <c r="C73" s="160" t="str">
        <f>+IFERROR(INDEX(Hoja1!$A$2:$A$82,MATCH(J73,Hoja1!$H$2:$H$82,0)),"")</f>
        <v>14.2</v>
      </c>
      <c r="D73" s="161" t="str">
        <f>IFERROR(VLOOKUP(C73,Hoja1!$A$2:$H$82,4,0),"")</f>
        <v>Info y Comunicación</v>
      </c>
      <c r="E73" s="161" t="str">
        <f>+IFERROR(VLOOKUP(C73,Hoja1!$A$1:$J$82,10,0),"")</f>
        <v>Comunicación Interna (Se comunica con el Comité Institucional de Coordinación de Control Interno o su equivalente; Facilita líneas de comunicación en todos los niveles; Selecciona el método de comunicación pertinente).</v>
      </c>
      <c r="F73" s="161" t="str">
        <f>+IFERROR(VLOOKUP(C73,Hoja1!$A$1:$I$82,3,0),"")</f>
        <v>La entidad cuenta con políticas de operación relacionadas con la administración de la información (niveles de autoridad y responsabilidad</v>
      </c>
      <c r="G73" s="160">
        <f>+IFERROR(VLOOKUP(C73,Hoja1!$A$1:$K$82,11,0),"")</f>
        <v>3</v>
      </c>
      <c r="H73" s="162">
        <f>+IFERROR(VLOOKUP(C73,Hoja1!$A$1:$L$82,12,0),"")</f>
        <v>3</v>
      </c>
      <c r="I73" s="159" t="str">
        <f t="shared" si="1"/>
        <v>Se encuentra presente y funciona correctamente, por lo tanto se requiere acciones o actividades  dirigidas a su mantenimiento dentro del marco de las lineas de defensa.</v>
      </c>
      <c r="J73" s="63">
        <v>59</v>
      </c>
      <c r="K73" s="111">
        <f>+VLOOKUP(C73,Hoja1!$A$1:$M$82,13,0)</f>
        <v>1</v>
      </c>
      <c r="L73" s="590"/>
      <c r="M73" s="60"/>
      <c r="N73" s="40"/>
      <c r="O73" s="40"/>
      <c r="P73" s="40"/>
      <c r="Q73" s="40"/>
      <c r="R73" s="40"/>
      <c r="S73" s="40"/>
    </row>
    <row r="74" spans="2:19" s="36" customFormat="1" ht="99.75" customHeight="1" x14ac:dyDescent="0.2">
      <c r="B74" s="115">
        <f t="shared" si="0"/>
        <v>60</v>
      </c>
      <c r="C74" s="160" t="str">
        <f>+IFERROR(INDEX(Hoja1!$A$2:$A$82,MATCH(J74,Hoja1!$H$2:$H$82,0)),"")</f>
        <v>14.3</v>
      </c>
      <c r="D74" s="161" t="str">
        <f>IFERROR(VLOOKUP(C74,Hoja1!$A$2:$H$82,4,0),"")</f>
        <v>Info y Comunicación</v>
      </c>
      <c r="E74" s="161" t="str">
        <f>+IFERROR(VLOOKUP(C74,Hoja1!$A$1:$J$82,10,0),"")</f>
        <v>Comunicación Interna (Se comunica con el Comité Institucional de Coordinación de Control Interno o su equivalente; Facilita líneas de comunicación en todos los niveles; Selecciona el método de comunicación pertinente).</v>
      </c>
      <c r="F74" s="161" t="str">
        <f>+IFERROR(VLOOKUP(C74,Hoja1!$A$1:$I$82,3,0),"")</f>
        <v>La entidad cuenta con canales de información internos para la denuncia anónima o confidencial de posibles situaciones irregulares y se cuenta con mecanismos específicos para su manejo, de manera tal que generen la confianza para utilizarlos</v>
      </c>
      <c r="G74" s="160">
        <f>+IFERROR(VLOOKUP(C74,Hoja1!$A$1:$K$82,11,0),"")</f>
        <v>3</v>
      </c>
      <c r="H74" s="162">
        <f>+IFERROR(VLOOKUP(C74,Hoja1!$A$1:$L$82,12,0),"")</f>
        <v>3</v>
      </c>
      <c r="I74" s="159" t="str">
        <f t="shared" si="1"/>
        <v>Se encuentra presente y funciona correctamente, por lo tanto se requiere acciones o actividades  dirigidas a su mantenimiento dentro del marco de las lineas de defensa.</v>
      </c>
      <c r="J74" s="63">
        <v>60</v>
      </c>
      <c r="K74" s="111">
        <f>+VLOOKUP(C74,Hoja1!$A$1:$M$82,13,0)</f>
        <v>1</v>
      </c>
      <c r="L74" s="590"/>
      <c r="M74" s="60"/>
      <c r="N74" s="40"/>
      <c r="O74" s="40"/>
      <c r="P74" s="40"/>
      <c r="Q74" s="40"/>
      <c r="R74" s="40"/>
      <c r="S74" s="40"/>
    </row>
    <row r="75" spans="2:19" s="36" customFormat="1" ht="99.75" customHeight="1" x14ac:dyDescent="0.2">
      <c r="B75" s="114">
        <f t="shared" si="0"/>
        <v>61</v>
      </c>
      <c r="C75" s="160" t="str">
        <f>+IFERROR(INDEX(Hoja1!$A$2:$A$82,MATCH(J75,Hoja1!$H$2:$H$82,0)),"")</f>
        <v>14.4</v>
      </c>
      <c r="D75" s="161" t="str">
        <f>IFERROR(VLOOKUP(C75,Hoja1!$A$2:$H$82,4,0),"")</f>
        <v>Info y Comunicación</v>
      </c>
      <c r="E75" s="161" t="str">
        <f>+IFERROR(VLOOKUP(C75,Hoja1!$A$1:$J$82,10,0),"")</f>
        <v>Comunicación Interna (Se comunica con el Comité Institucional de Coordinación de Control Interno o su equivalente; Facilita líneas de comunicación en todos los niveles; Selecciona el método de comunicación pertinente).</v>
      </c>
      <c r="F75" s="161" t="str">
        <f>+IFERROR(VLOOKUP(C75,Hoja1!$A$1:$I$82,3,0),"")</f>
        <v>La entidad establece e implementa políticas y procedimientos para facilitar una comunicación interna efectiva</v>
      </c>
      <c r="G75" s="160">
        <f>+IFERROR(VLOOKUP(C75,Hoja1!$A$1:$K$82,11,0),"")</f>
        <v>3</v>
      </c>
      <c r="H75" s="162">
        <f>+IFERROR(VLOOKUP(C75,Hoja1!$A$1:$L$82,12,0),"")</f>
        <v>3</v>
      </c>
      <c r="I75" s="159" t="str">
        <f t="shared" si="1"/>
        <v>Se encuentra presente y funciona correctamente, por lo tanto se requiere acciones o actividades  dirigidas a su mantenimiento dentro del marco de las lineas de defensa.</v>
      </c>
      <c r="J75" s="63">
        <v>61</v>
      </c>
      <c r="K75" s="111">
        <f>+VLOOKUP(C75,Hoja1!$A$1:$M$82,13,0)</f>
        <v>1</v>
      </c>
      <c r="L75" s="590"/>
      <c r="M75" s="60"/>
      <c r="N75" s="40"/>
      <c r="O75" s="40"/>
      <c r="P75" s="40"/>
      <c r="Q75" s="40"/>
      <c r="R75" s="40"/>
      <c r="S75" s="40"/>
    </row>
    <row r="76" spans="2:19" s="36" customFormat="1" ht="99.75" customHeight="1" x14ac:dyDescent="0.2">
      <c r="B76" s="114">
        <f t="shared" si="0"/>
        <v>62</v>
      </c>
      <c r="C76" s="160" t="str">
        <f>+IFERROR(INDEX(Hoja1!$A$2:$A$82,MATCH(J76,Hoja1!$H$2:$H$82,0)),"")</f>
        <v>15.1</v>
      </c>
      <c r="D76" s="161" t="str">
        <f>IFERROR(VLOOKUP(C76,Hoja1!$A$2:$H$82,4,0),"")</f>
        <v>Info y Comunicación</v>
      </c>
      <c r="E76" s="161" t="str">
        <f>+IFERROR(VLOOKUP(C76,Hoja1!$A$1:$J$82,10,0),"")</f>
        <v>Comunicación con el exterior (Se comunica con los grupos de valor y con terceros externos interesados; Facilita líneas de comunicación).</v>
      </c>
      <c r="F76" s="161" t="str">
        <f>+IFERROR(VLOOKUP(C76,Hoja1!$A$1:$I$82,3,0),"")</f>
        <v>La entidad desarrolla e implementa controles que facilitan la comunicación externa, la cual incluye  políticas y procedimientos. 
Incluye contratistas y proveedores de servicios tercerizados (cuando aplique).</v>
      </c>
      <c r="G76" s="160">
        <f>+IFERROR(VLOOKUP(C76,Hoja1!$A$1:$K$82,11,0),"")</f>
        <v>3</v>
      </c>
      <c r="H76" s="162">
        <f>+IFERROR(VLOOKUP(C76,Hoja1!$A$1:$L$82,12,0),"")</f>
        <v>3</v>
      </c>
      <c r="I76" s="159" t="str">
        <f t="shared" si="1"/>
        <v>Se encuentra presente y funciona correctamente, por lo tanto se requiere acciones o actividades  dirigidas a su mantenimiento dentro del marco de las lineas de defensa.</v>
      </c>
      <c r="J76" s="63">
        <v>62</v>
      </c>
      <c r="K76" s="111">
        <f>+VLOOKUP(C76,Hoja1!$A$1:$M$82,13,0)</f>
        <v>1</v>
      </c>
      <c r="L76" s="590"/>
      <c r="M76" s="60"/>
      <c r="N76" s="40"/>
      <c r="O76" s="40"/>
      <c r="P76" s="40"/>
      <c r="Q76" s="40"/>
      <c r="R76" s="40"/>
      <c r="S76" s="40"/>
    </row>
    <row r="77" spans="2:19" s="36" customFormat="1" ht="99.75" customHeight="1" x14ac:dyDescent="0.2">
      <c r="B77" s="114">
        <f t="shared" si="0"/>
        <v>63</v>
      </c>
      <c r="C77" s="160" t="str">
        <f>+IFERROR(INDEX(Hoja1!$A$2:$A$82,MATCH(J77,Hoja1!$H$2:$H$82,0)),"")</f>
        <v>15.2</v>
      </c>
      <c r="D77" s="161" t="str">
        <f>IFERROR(VLOOKUP(C77,Hoja1!$A$2:$H$82,4,0),"")</f>
        <v>Info y Comunicación</v>
      </c>
      <c r="E77" s="161" t="str">
        <f>+IFERROR(VLOOKUP(C77,Hoja1!$A$1:$J$82,10,0),"")</f>
        <v>Comunicación con el exterior (Se comunica con los grupos de valor y con terceros externos interesados; Facilita líneas de comunicación).</v>
      </c>
      <c r="F77" s="161" t="str">
        <f>+IFERROR(VLOOKUP(C77,Hoja1!$A$1:$I$82,3,0),"")</f>
        <v>La entidad cuenta con canales externos definidos de comunicación, asociados con el tipo de información a divulgar, y éstos son reconocidos a todo nivel de la organización.</v>
      </c>
      <c r="G77" s="160">
        <f>+IFERROR(VLOOKUP(C77,Hoja1!$A$1:$K$82,11,0),"")</f>
        <v>3</v>
      </c>
      <c r="H77" s="162">
        <f>+IFERROR(VLOOKUP(C77,Hoja1!$A$1:$L$82,12,0),"")</f>
        <v>3</v>
      </c>
      <c r="I77" s="159" t="str">
        <f t="shared" si="1"/>
        <v>Se encuentra presente y funciona correctamente, por lo tanto se requiere acciones o actividades  dirigidas a su mantenimiento dentro del marco de las lineas de defensa.</v>
      </c>
      <c r="J77" s="63">
        <v>63</v>
      </c>
      <c r="K77" s="111">
        <f>+VLOOKUP(C77,Hoja1!$A$1:$M$82,13,0)</f>
        <v>1</v>
      </c>
      <c r="L77" s="590"/>
      <c r="M77" s="60"/>
      <c r="N77" s="40"/>
      <c r="O77" s="40"/>
      <c r="P77" s="40"/>
      <c r="Q77" s="40"/>
      <c r="R77" s="40"/>
      <c r="S77" s="40"/>
    </row>
    <row r="78" spans="2:19" s="36" customFormat="1" ht="99.75" customHeight="1" x14ac:dyDescent="0.2">
      <c r="B78" s="115">
        <f t="shared" si="0"/>
        <v>64</v>
      </c>
      <c r="C78" s="160" t="str">
        <f>+IFERROR(INDEX(Hoja1!$A$2:$A$82,MATCH(J78,Hoja1!$H$2:$H$82,0)),"")</f>
        <v>15.3</v>
      </c>
      <c r="D78" s="161" t="str">
        <f>IFERROR(VLOOKUP(C78,Hoja1!$A$2:$H$82,4,0),"")</f>
        <v>Info y Comunicación</v>
      </c>
      <c r="E78" s="161" t="str">
        <f>+IFERROR(VLOOKUP(C78,Hoja1!$A$1:$J$82,10,0),"")</f>
        <v>Comunicación con el exterior (Se comunica con los grupos de valor y con terceros externos interesados; Facilita líneas de comunicación).</v>
      </c>
      <c r="F78" s="161" t="str">
        <f>+IFERROR(VLOOKUP(C78,Hoja1!$A$1:$I$82,3,0),"")</f>
        <v>La entidad cuenta con procesos o procedimiento para el manejo de la información entrante (quién la recibe, quién la clasifica, quién la analiza), y a la respuesta requierida (quién la canaliza y la responde)</v>
      </c>
      <c r="G78" s="160">
        <f>+IFERROR(VLOOKUP(C78,Hoja1!$A$1:$K$82,11,0),"")</f>
        <v>3</v>
      </c>
      <c r="H78" s="162">
        <f>+IFERROR(VLOOKUP(C78,Hoja1!$A$1:$L$82,12,0),"")</f>
        <v>3</v>
      </c>
      <c r="I78" s="159" t="str">
        <f t="shared" si="1"/>
        <v>Se encuentra presente y funciona correctamente, por lo tanto se requiere acciones o actividades  dirigidas a su mantenimiento dentro del marco de las lineas de defensa.</v>
      </c>
      <c r="J78" s="63">
        <v>64</v>
      </c>
      <c r="K78" s="111">
        <f>+VLOOKUP(C78,Hoja1!$A$1:$M$82,13,0)</f>
        <v>1</v>
      </c>
      <c r="L78" s="590"/>
      <c r="M78" s="60"/>
      <c r="N78" s="40"/>
      <c r="O78" s="40"/>
      <c r="P78" s="40"/>
      <c r="Q78" s="40"/>
      <c r="R78" s="40"/>
      <c r="S78" s="40"/>
    </row>
    <row r="79" spans="2:19" s="36" customFormat="1" ht="99.75" customHeight="1" x14ac:dyDescent="0.2">
      <c r="B79" s="114">
        <f t="shared" si="0"/>
        <v>65</v>
      </c>
      <c r="C79" s="160" t="str">
        <f>+IFERROR(INDEX(Hoja1!$A$2:$A$82,MATCH(J79,Hoja1!$H$2:$H$82,0)),"")</f>
        <v>15.4</v>
      </c>
      <c r="D79" s="161" t="str">
        <f>IFERROR(VLOOKUP(C79,Hoja1!$A$2:$H$82,4,0),"")</f>
        <v>Info y Comunicación</v>
      </c>
      <c r="E79" s="161" t="str">
        <f>+IFERROR(VLOOKUP(C79,Hoja1!$A$1:$J$82,10,0),"")</f>
        <v>Comunicación con el exterior (Se comunica con los grupos de valor y con terceros externos interesados; Facilita líneas de comunicación).</v>
      </c>
      <c r="F79" s="161" t="str">
        <f>+IFERROR(VLOOKUP(C79,Hoja1!$A$1:$I$82,3,0),"")</f>
        <v>La entidad cuenta con procesos o procedimientos encaminados a evaluar periodicamente la efectividad de los canales de comunicación con partes externas, así como sus contenidos, de tal forma que se puedan mejorar.</v>
      </c>
      <c r="G79" s="160">
        <f>+IFERROR(VLOOKUP(C79,Hoja1!$A$1:$K$82,11,0),"")</f>
        <v>3</v>
      </c>
      <c r="H79" s="162">
        <f>+IFERROR(VLOOKUP(C79,Hoja1!$A$1:$L$82,12,0),"")</f>
        <v>3</v>
      </c>
      <c r="I79" s="159" t="str">
        <f t="shared" si="1"/>
        <v>Se encuentra presente y funciona correctamente, por lo tanto se requiere acciones o actividades  dirigidas a su mantenimiento dentro del marco de las lineas de defensa.</v>
      </c>
      <c r="J79" s="63">
        <v>65</v>
      </c>
      <c r="K79" s="111">
        <f>+VLOOKUP(C79,Hoja1!$A$1:$M$82,13,0)</f>
        <v>1</v>
      </c>
      <c r="L79" s="590"/>
      <c r="M79" s="60"/>
      <c r="N79" s="40"/>
      <c r="O79" s="40"/>
      <c r="P79" s="40"/>
      <c r="Q79" s="40"/>
      <c r="R79" s="40"/>
      <c r="S79" s="40"/>
    </row>
    <row r="80" spans="2:19" s="36" customFormat="1" ht="99.75" customHeight="1" x14ac:dyDescent="0.2">
      <c r="B80" s="115">
        <f t="shared" ref="B80:B143" si="2">+IF(ISTEXT(D80),J80,"")</f>
        <v>66</v>
      </c>
      <c r="C80" s="160" t="str">
        <f>+IFERROR(INDEX(Hoja1!$A$2:$A$82,MATCH(J80,Hoja1!$H$2:$H$82,0)),"")</f>
        <v>15.5</v>
      </c>
      <c r="D80" s="161" t="str">
        <f>IFERROR(VLOOKUP(C80,Hoja1!$A$2:$H$82,4,0),"")</f>
        <v>Info y Comunicación</v>
      </c>
      <c r="E80" s="161" t="str">
        <f>+IFERROR(VLOOKUP(C80,Hoja1!$A$1:$J$82,10,0),"")</f>
        <v>Comunicación con el exterior (Se comunica con los grupos de valor y con terceros externos interesados; Facilita líneas de comunicación).</v>
      </c>
      <c r="F80" s="161" t="str">
        <f>+IFERROR(VLOOKUP(C80,Hoja1!$A$1:$I$82,3,0),"")</f>
        <v>La entidad analiza periodicamente su caracterización de usuarios o grupos de valor, a fin de actualizarla cuando sea pertinente</v>
      </c>
      <c r="G80" s="160">
        <f>+IFERROR(VLOOKUP(C80,Hoja1!$A$1:$K$82,11,0),"")</f>
        <v>3</v>
      </c>
      <c r="H80" s="162">
        <f>+IFERROR(VLOOKUP(C80,Hoja1!$A$1:$L$82,12,0),"")</f>
        <v>3</v>
      </c>
      <c r="I80" s="159" t="str">
        <f t="shared" ref="I80:I95" si="3">+IF(OR(AND(G80=1,H80=1),AND(G80=1,H80=2),AND(G80=1,H80=3),G80="",H80=""),"No se encuentra presente  por lo tanto no esta funcionando, lo que hace que se requieran acciones dirigidas a fortalecer su diseño y puesta en marcha",IF(OR(AND(G80=2,H80=2),AND(G80=3,H80=1),AND(G80=3,H80=2),AND(G80=2,H80=1)),"Se encuentra presente y funcionando, pero requiere acciones dirigidas a fortalecer  o mejorar su diseño y/o ejecucion.",IF(AND(G80=2,H80=3),"Se encuentra presente  y funcionando, pero requiere mejoras frente a su diseño, ya que  opera de manera efectiva","Se encuentra presente y funciona correctamente, por lo tanto se requiere acciones o actividades  dirigidas a su mantenimiento dentro del marco de las lineas de defensa.")))</f>
        <v>Se encuentra presente y funciona correctamente, por lo tanto se requiere acciones o actividades  dirigidas a su mantenimiento dentro del marco de las lineas de defensa.</v>
      </c>
      <c r="J80" s="63">
        <v>66</v>
      </c>
      <c r="K80" s="111">
        <f>+VLOOKUP(C80,Hoja1!$A$1:$M$82,13,0)</f>
        <v>1</v>
      </c>
      <c r="L80" s="590"/>
      <c r="M80" s="60"/>
      <c r="N80" s="40"/>
      <c r="O80" s="40"/>
      <c r="P80" s="40"/>
      <c r="Q80" s="40"/>
      <c r="R80" s="40"/>
      <c r="S80" s="40"/>
    </row>
    <row r="81" spans="2:19" s="36" customFormat="1" ht="99.75" customHeight="1" x14ac:dyDescent="0.2">
      <c r="B81" s="114">
        <f t="shared" si="2"/>
        <v>67</v>
      </c>
      <c r="C81" s="160" t="str">
        <f>+IFERROR(INDEX(Hoja1!$A$2:$A$82,MATCH(J81,Hoja1!$H$2:$H$82,0)),"")</f>
        <v>15.6</v>
      </c>
      <c r="D81" s="161" t="str">
        <f>IFERROR(VLOOKUP(C81,Hoja1!$A$2:$H$82,4,0),"")</f>
        <v>Info y Comunicación</v>
      </c>
      <c r="E81" s="161" t="str">
        <f>+IFERROR(VLOOKUP(C81,Hoja1!$A$1:$J$82,10,0),"")</f>
        <v>Comunicación con el exterior (Se comunica con los grupos de valor y con terceros externos interesados; Facilita líneas de comunicación).</v>
      </c>
      <c r="F81" s="161" t="str">
        <f>+IFERROR(VLOOKUP(C81,Hoja1!$A$1:$I$82,3,0),"")</f>
        <v>La entidad analiza periodicamente los resultados frente a la evaluación de percepción por parte de los usuarios o grupos de valor para la incorporación de las mejoras correspondientes</v>
      </c>
      <c r="G81" s="160">
        <f>+IFERROR(VLOOKUP(C81,Hoja1!$A$1:$K$82,11,0),"")</f>
        <v>3</v>
      </c>
      <c r="H81" s="162">
        <f>+IFERROR(VLOOKUP(C81,Hoja1!$A$1:$L$82,12,0),"")</f>
        <v>3</v>
      </c>
      <c r="I81" s="159" t="str">
        <f t="shared" si="3"/>
        <v>Se encuentra presente y funciona correctamente, por lo tanto se requiere acciones o actividades  dirigidas a su mantenimiento dentro del marco de las lineas de defensa.</v>
      </c>
      <c r="J81" s="63">
        <v>67</v>
      </c>
      <c r="K81" s="111">
        <f>+VLOOKUP(C81,Hoja1!$A$1:$M$82,13,0)</f>
        <v>1</v>
      </c>
      <c r="L81" s="590"/>
      <c r="M81" s="60"/>
      <c r="N81" s="40"/>
      <c r="O81" s="40"/>
      <c r="P81" s="40"/>
      <c r="Q81" s="40"/>
      <c r="R81" s="40"/>
      <c r="S81" s="40"/>
    </row>
    <row r="82" spans="2:19" s="36" customFormat="1" ht="99.75" customHeight="1" x14ac:dyDescent="0.2">
      <c r="B82" s="114">
        <f t="shared" si="2"/>
        <v>68</v>
      </c>
      <c r="C82" s="160" t="str">
        <f>+IFERROR(INDEX(Hoja1!$A$2:$A$82,MATCH(J82,Hoja1!$H$2:$H$82,0)),"")</f>
        <v>16.1</v>
      </c>
      <c r="D82" s="161" t="str">
        <f>IFERROR(VLOOKUP(C82,Hoja1!$A$2:$H$82,4,0),"")</f>
        <v>Monitoreo - Supervisión</v>
      </c>
      <c r="E82" s="161" t="str">
        <f>+IFERROR(VLOOKUP(C82,Hoja1!$A$1:$J$82,10,0),"")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2" s="161" t="str">
        <f>+IFERROR(VLOOKUP(C82,Hoja1!$A$1:$I$82,3,0),"")</f>
        <v>El comité Institucional de Coordinación de Control Interno aprueba anualmente el Plan Anual de Auditoría presentado por parte del Jefe de Control Interno o quien haga sus veces y hace el correspondiente seguimiento a sus ejecución</v>
      </c>
      <c r="G82" s="160">
        <f>+IFERROR(VLOOKUP(C82,Hoja1!$A$1:$K$82,11,0),"")</f>
        <v>3</v>
      </c>
      <c r="H82" s="162">
        <f>+IFERROR(VLOOKUP(C82,Hoja1!$A$1:$L$82,12,0),"")</f>
        <v>3</v>
      </c>
      <c r="I82" s="159" t="str">
        <f t="shared" si="3"/>
        <v>Se encuentra presente y funciona correctamente, por lo tanto se requiere acciones o actividades  dirigidas a su mantenimiento dentro del marco de las lineas de defensa.</v>
      </c>
      <c r="J82" s="63">
        <v>68</v>
      </c>
      <c r="K82" s="111">
        <f>+VLOOKUP(C82,Hoja1!$A$1:$M$82,13,0)</f>
        <v>1</v>
      </c>
      <c r="L82" s="590">
        <f>+AVERAGE(K82:K95)</f>
        <v>1</v>
      </c>
      <c r="M82" s="60"/>
      <c r="N82" s="40"/>
      <c r="O82" s="40"/>
      <c r="P82" s="40"/>
      <c r="Q82" s="40"/>
      <c r="R82" s="40"/>
      <c r="S82" s="40"/>
    </row>
    <row r="83" spans="2:19" s="36" customFormat="1" ht="99.75" customHeight="1" x14ac:dyDescent="0.2">
      <c r="B83" s="114">
        <f t="shared" si="2"/>
        <v>69</v>
      </c>
      <c r="C83" s="160" t="str">
        <f>+IFERROR(INDEX(Hoja1!$A$2:$A$82,MATCH(J83,Hoja1!$H$2:$H$82,0)),"")</f>
        <v>16.2</v>
      </c>
      <c r="D83" s="161" t="str">
        <f>IFERROR(VLOOKUP(C83,Hoja1!$A$2:$H$82,4,0),"")</f>
        <v>Monitoreo - Supervisión</v>
      </c>
      <c r="E83" s="161" t="str">
        <f>+IFERROR(VLOOKUP(C83,Hoja1!$A$1:$J$82,10,0),"")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3" s="161" t="str">
        <f>+IFERROR(VLOOKUP(C83,Hoja1!$A$1:$I$82,3,0),"")</f>
        <v xml:space="preserve"> La Alta Dirección periódicamente evalúa los resultados de las evaluaciones (contínuas e independientes)  para concluir acerca de la efectividad del Sistema de Control Intern</v>
      </c>
      <c r="G83" s="160">
        <f>+IFERROR(VLOOKUP(C83,Hoja1!$A$1:$K$82,11,0),"")</f>
        <v>3</v>
      </c>
      <c r="H83" s="162">
        <f>+IFERROR(VLOOKUP(C83,Hoja1!$A$1:$L$82,12,0),"")</f>
        <v>3</v>
      </c>
      <c r="I83" s="159" t="str">
        <f t="shared" si="3"/>
        <v>Se encuentra presente y funciona correctamente, por lo tanto se requiere acciones o actividades  dirigidas a su mantenimiento dentro del marco de las lineas de defensa.</v>
      </c>
      <c r="J83" s="63">
        <v>69</v>
      </c>
      <c r="K83" s="111">
        <f>+VLOOKUP(C83,Hoja1!$A$1:$M$82,13,0)</f>
        <v>1</v>
      </c>
      <c r="L83" s="590"/>
      <c r="M83" s="60"/>
      <c r="N83" s="40"/>
      <c r="O83" s="40"/>
      <c r="P83" s="40"/>
      <c r="Q83" s="40"/>
      <c r="R83" s="40"/>
      <c r="S83" s="40"/>
    </row>
    <row r="84" spans="2:19" s="36" customFormat="1" ht="99.75" customHeight="1" x14ac:dyDescent="0.2">
      <c r="B84" s="115">
        <f t="shared" si="2"/>
        <v>70</v>
      </c>
      <c r="C84" s="160" t="str">
        <f>+IFERROR(INDEX(Hoja1!$A$2:$A$82,MATCH(J84,Hoja1!$H$2:$H$82,0)),"")</f>
        <v>16.3</v>
      </c>
      <c r="D84" s="161" t="str">
        <f>IFERROR(VLOOKUP(C84,Hoja1!$A$2:$H$82,4,0),"")</f>
        <v>Monitoreo - Supervisión</v>
      </c>
      <c r="E84" s="161" t="str">
        <f>+IFERROR(VLOOKUP(C84,Hoja1!$A$1:$J$82,10,0),"")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4" s="161" t="str">
        <f>+IFERROR(VLOOKUP(C84,Hoja1!$A$1:$I$82,3,0),"")</f>
        <v xml:space="preserve"> La Oficina de Control Interno o quien haga sus veces realiza evaluaciones independientes periódicas (con una frecuencia definida con base en el análisis de riesgo), que le permite evaluar el diseño y operación de los controles establecidos y definir su efectividad para evitar la materialización de riesgos</v>
      </c>
      <c r="G84" s="160">
        <f>+IFERROR(VLOOKUP(C84,Hoja1!$A$1:$K$82,11,0),"")</f>
        <v>3</v>
      </c>
      <c r="H84" s="162">
        <f>+IFERROR(VLOOKUP(C84,Hoja1!$A$1:$L$82,12,0),"")</f>
        <v>3</v>
      </c>
      <c r="I84" s="159" t="str">
        <f t="shared" si="3"/>
        <v>Se encuentra presente y funciona correctamente, por lo tanto se requiere acciones o actividades  dirigidas a su mantenimiento dentro del marco de las lineas de defensa.</v>
      </c>
      <c r="J84" s="63">
        <v>70</v>
      </c>
      <c r="K84" s="111">
        <f>+VLOOKUP(C84,Hoja1!$A$1:$M$82,13,0)</f>
        <v>1</v>
      </c>
      <c r="L84" s="590"/>
      <c r="M84" s="60"/>
      <c r="N84" s="40"/>
      <c r="O84" s="40"/>
      <c r="P84" s="40"/>
      <c r="Q84" s="40"/>
      <c r="R84" s="40"/>
      <c r="S84" s="40"/>
    </row>
    <row r="85" spans="2:19" s="36" customFormat="1" ht="99.75" customHeight="1" x14ac:dyDescent="0.2">
      <c r="B85" s="114">
        <f t="shared" si="2"/>
        <v>71</v>
      </c>
      <c r="C85" s="160" t="str">
        <f>+IFERROR(INDEX(Hoja1!$A$2:$A$82,MATCH(J85,Hoja1!$H$2:$H$82,0)),"")</f>
        <v>16.4</v>
      </c>
      <c r="D85" s="161" t="str">
        <f>IFERROR(VLOOKUP(C85,Hoja1!$A$2:$H$82,4,0),"")</f>
        <v>Monitoreo - Supervisión</v>
      </c>
      <c r="E85" s="161" t="str">
        <f>+IFERROR(VLOOKUP(C85,Hoja1!$A$1:$J$82,10,0),"")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5" s="161" t="str">
        <f>+IFERROR(VLOOKUP(C85,Hoja1!$A$1:$I$82,3,0),"")</f>
        <v>Acorde con el Esquema de Líneas de Defensa se han implementado procedimientos de monitoreo continuo como parte de las actividades de la 2a línea de defensa, a fin de contar con información clave para la toma de decisiones</v>
      </c>
      <c r="G85" s="160">
        <f>+IFERROR(VLOOKUP(C85,Hoja1!$A$1:$K$82,11,0),"")</f>
        <v>3</v>
      </c>
      <c r="H85" s="162">
        <f>+IFERROR(VLOOKUP(C85,Hoja1!$A$1:$L$82,12,0),"")</f>
        <v>3</v>
      </c>
      <c r="I85" s="159" t="str">
        <f t="shared" si="3"/>
        <v>Se encuentra presente y funciona correctamente, por lo tanto se requiere acciones o actividades  dirigidas a su mantenimiento dentro del marco de las lineas de defensa.</v>
      </c>
      <c r="J85" s="63">
        <v>71</v>
      </c>
      <c r="K85" s="111">
        <f>+VLOOKUP(C85,Hoja1!$A$1:$M$82,13,0)</f>
        <v>1</v>
      </c>
      <c r="L85" s="590"/>
      <c r="M85" s="60"/>
      <c r="N85" s="40"/>
      <c r="O85" s="40"/>
      <c r="P85" s="40"/>
      <c r="Q85" s="40"/>
      <c r="R85" s="40"/>
      <c r="S85" s="40"/>
    </row>
    <row r="86" spans="2:19" s="36" customFormat="1" ht="99.75" customHeight="1" x14ac:dyDescent="0.2">
      <c r="B86" s="115">
        <f t="shared" si="2"/>
        <v>72</v>
      </c>
      <c r="C86" s="160" t="str">
        <f>+IFERROR(INDEX(Hoja1!$A$2:$A$82,MATCH(J86,Hoja1!$H$2:$H$82,0)),"")</f>
        <v>16.5</v>
      </c>
      <c r="D86" s="161" t="str">
        <f>IFERROR(VLOOKUP(C86,Hoja1!$A$2:$H$82,4,0),"")</f>
        <v>Monitoreo - Supervisión</v>
      </c>
      <c r="E86" s="161" t="str">
        <f>+IFERROR(VLOOKUP(C86,Hoja1!$A$1:$J$82,10,0),"")</f>
        <v>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v>
      </c>
      <c r="F86" s="161" t="str">
        <f>+IFERROR(VLOOKUP(C86,Hoja1!$A$1:$I$82,3,0),"")</f>
        <v>Frente a las evaluaciones independientes la entidad considera evaluaciones externas de organismos de control, de vigilancia, certificadores, ONG´s u otros que permitan tener una mirada independiente de las operaciones</v>
      </c>
      <c r="G86" s="160">
        <f>+IFERROR(VLOOKUP(C86,Hoja1!$A$1:$K$82,11,0),"")</f>
        <v>3</v>
      </c>
      <c r="H86" s="162">
        <f>+IFERROR(VLOOKUP(C86,Hoja1!$A$1:$L$82,12,0),"")</f>
        <v>3</v>
      </c>
      <c r="I86" s="159" t="str">
        <f t="shared" si="3"/>
        <v>Se encuentra presente y funciona correctamente, por lo tanto se requiere acciones o actividades  dirigidas a su mantenimiento dentro del marco de las lineas de defensa.</v>
      </c>
      <c r="J86" s="63">
        <v>72</v>
      </c>
      <c r="K86" s="111">
        <f>+VLOOKUP(C86,Hoja1!$A$1:$M$82,13,0)</f>
        <v>1</v>
      </c>
      <c r="L86" s="590"/>
      <c r="M86" s="60"/>
      <c r="N86" s="40"/>
      <c r="O86" s="40"/>
      <c r="P86" s="40"/>
      <c r="Q86" s="40"/>
      <c r="R86" s="40"/>
      <c r="S86" s="40"/>
    </row>
    <row r="87" spans="2:19" s="36" customFormat="1" ht="99.75" customHeight="1" x14ac:dyDescent="0.2">
      <c r="B87" s="114">
        <f t="shared" si="2"/>
        <v>73</v>
      </c>
      <c r="C87" s="160" t="str">
        <f>+IFERROR(INDEX(Hoja1!$A$2:$A$82,MATCH(J87,Hoja1!$H$2:$H$82,0)),"")</f>
        <v xml:space="preserve">17.1 </v>
      </c>
      <c r="D87" s="161" t="str">
        <f>IFERROR(VLOOKUP(C87,Hoja1!$A$2:$H$82,4,0),"")</f>
        <v>Monitoreo - Supervisión</v>
      </c>
      <c r="E87" s="161" t="str">
        <f>+IFERROR(VLOOKUP(C87,Hoja1!$A$1:$J$82,10,0),"")</f>
        <v>Evaluación y comunicación de deficiencias oportunamente (Evalúa los resultados, Comunica las deficiencias y Monitorea las medidas correctivas).</v>
      </c>
      <c r="F87" s="161" t="str">
        <f>+IFERROR(VLOOKUP(C87,Hoja1!$A$1:$I$82,3,0),"")</f>
        <v>A partir de la información de las evaluaciones independientes, se evalúan para determinar su efecto en el Sistema de Control Interno de la entidad y su impacto en el logro de los objetivos, a fin de determinar cursos de acción para su mejora</v>
      </c>
      <c r="G87" s="160">
        <f>+IFERROR(VLOOKUP(C87,Hoja1!$A$1:$K$82,11,0),"")</f>
        <v>3</v>
      </c>
      <c r="H87" s="162">
        <f>+IFERROR(VLOOKUP(C87,Hoja1!$A$1:$L$82,12,0),"")</f>
        <v>3</v>
      </c>
      <c r="I87" s="159" t="str">
        <f t="shared" si="3"/>
        <v>Se encuentra presente y funciona correctamente, por lo tanto se requiere acciones o actividades  dirigidas a su mantenimiento dentro del marco de las lineas de defensa.</v>
      </c>
      <c r="J87" s="63">
        <v>73</v>
      </c>
      <c r="K87" s="111">
        <f>+VLOOKUP(C87,Hoja1!$A$1:$M$82,13,0)</f>
        <v>1</v>
      </c>
      <c r="L87" s="590"/>
      <c r="M87" s="60"/>
      <c r="N87" s="40"/>
      <c r="O87" s="40"/>
      <c r="P87" s="40"/>
      <c r="Q87" s="40"/>
      <c r="R87" s="40"/>
      <c r="S87" s="40"/>
    </row>
    <row r="88" spans="2:19" s="36" customFormat="1" ht="99.75" customHeight="1" x14ac:dyDescent="0.2">
      <c r="B88" s="114">
        <f t="shared" si="2"/>
        <v>74</v>
      </c>
      <c r="C88" s="160" t="str">
        <f>+IFERROR(INDEX(Hoja1!$A$2:$A$82,MATCH(J88,Hoja1!$H$2:$H$82,0)),"")</f>
        <v xml:space="preserve">17.2 </v>
      </c>
      <c r="D88" s="161" t="str">
        <f>IFERROR(VLOOKUP(C88,Hoja1!$A$2:$H$82,4,0),"")</f>
        <v>Monitoreo - Supervisión</v>
      </c>
      <c r="E88" s="161" t="str">
        <f>+IFERROR(VLOOKUP(C88,Hoja1!$A$1:$J$82,10,0),"")</f>
        <v>Evaluación y comunicación de deficiencias oportunamente (Evalúa los resultados, Comunica las deficiencias y Monitorea las medidas correctivas).</v>
      </c>
      <c r="F88" s="161" t="str">
        <f>+IFERROR(VLOOKUP(C88,Hoja1!$A$1:$I$82,3,0),"")</f>
        <v>Los informes recibidos de entes externos (organismos de control, auditores externos, entidades de vigilancia entre otros) se consolidan y se concluye sobre el impacto en el Sistema de Control Interno, a fin de determinar los cursos de acción</v>
      </c>
      <c r="G88" s="160">
        <f>+IFERROR(VLOOKUP(C88,Hoja1!$A$1:$K$82,11,0),"")</f>
        <v>3</v>
      </c>
      <c r="H88" s="162">
        <f>+IFERROR(VLOOKUP(C88,Hoja1!$A$1:$L$82,12,0),"")</f>
        <v>3</v>
      </c>
      <c r="I88" s="159" t="str">
        <f t="shared" si="3"/>
        <v>Se encuentra presente y funciona correctamente, por lo tanto se requiere acciones o actividades  dirigidas a su mantenimiento dentro del marco de las lineas de defensa.</v>
      </c>
      <c r="J88" s="63">
        <v>74</v>
      </c>
      <c r="K88" s="111">
        <f>+VLOOKUP(C88,Hoja1!$A$1:$M$82,13,0)</f>
        <v>1</v>
      </c>
      <c r="L88" s="590"/>
      <c r="M88" s="60"/>
      <c r="N88" s="40"/>
      <c r="O88" s="40"/>
      <c r="P88" s="40"/>
      <c r="Q88" s="40"/>
      <c r="R88" s="40"/>
      <c r="S88" s="40"/>
    </row>
    <row r="89" spans="2:19" s="36" customFormat="1" ht="99.75" customHeight="1" x14ac:dyDescent="0.2">
      <c r="B89" s="114">
        <f t="shared" si="2"/>
        <v>75</v>
      </c>
      <c r="C89" s="160" t="str">
        <f>+IFERROR(INDEX(Hoja1!$A$2:$A$82,MATCH(J89,Hoja1!$H$2:$H$82,0)),"")</f>
        <v xml:space="preserve">17.3 </v>
      </c>
      <c r="D89" s="161" t="str">
        <f>IFERROR(VLOOKUP(C89,Hoja1!$A$2:$H$82,4,0),"")</f>
        <v>Monitoreo - Supervisión</v>
      </c>
      <c r="E89" s="161" t="str">
        <f>+IFERROR(VLOOKUP(C89,Hoja1!$A$1:$J$82,10,0),"")</f>
        <v>Evaluación y comunicación de deficiencias oportunamente (Evalúa los resultados, Comunica las deficiencias y Monitorea las medidas correctivas).</v>
      </c>
      <c r="F89" s="161" t="str">
        <f>+IFERROR(VLOOKUP(C89,Hoja1!$A$1:$I$82,3,0),"")</f>
        <v>La entidad cuenta con políticas donde se establezca a quién reportar las deficiencias de control interno como resultado del monitoreo continuo</v>
      </c>
      <c r="G89" s="160">
        <f>+IFERROR(VLOOKUP(C89,Hoja1!$A$1:$K$82,11,0),"")</f>
        <v>3</v>
      </c>
      <c r="H89" s="162">
        <f>+IFERROR(VLOOKUP(C89,Hoja1!$A$1:$L$82,12,0),"")</f>
        <v>3</v>
      </c>
      <c r="I89" s="159" t="str">
        <f t="shared" si="3"/>
        <v>Se encuentra presente y funciona correctamente, por lo tanto se requiere acciones o actividades  dirigidas a su mantenimiento dentro del marco de las lineas de defensa.</v>
      </c>
      <c r="J89" s="63">
        <v>75</v>
      </c>
      <c r="K89" s="111">
        <f>+VLOOKUP(C89,Hoja1!$A$1:$M$82,13,0)</f>
        <v>1</v>
      </c>
      <c r="L89" s="590"/>
      <c r="M89" s="60"/>
      <c r="N89" s="40"/>
      <c r="O89" s="40"/>
      <c r="P89" s="40"/>
      <c r="Q89" s="40"/>
      <c r="R89" s="40"/>
      <c r="S89" s="40"/>
    </row>
    <row r="90" spans="2:19" s="36" customFormat="1" ht="99.75" customHeight="1" x14ac:dyDescent="0.2">
      <c r="B90" s="115">
        <f t="shared" si="2"/>
        <v>76</v>
      </c>
      <c r="C90" s="160" t="str">
        <f>+IFERROR(INDEX(Hoja1!$A$2:$A$82,MATCH(J90,Hoja1!$H$2:$H$82,0)),"")</f>
        <v xml:space="preserve">17.4 </v>
      </c>
      <c r="D90" s="161" t="str">
        <f>IFERROR(VLOOKUP(C90,Hoja1!$A$2:$H$82,4,0),"")</f>
        <v>Monitoreo - Supervisión</v>
      </c>
      <c r="E90" s="161" t="str">
        <f>+IFERROR(VLOOKUP(C90,Hoja1!$A$1:$J$82,10,0),"")</f>
        <v>Evaluación y comunicación de deficiencias oportunamente (Evalúa los resultados, Comunica las deficiencias y Monitorea las medidas correctivas).</v>
      </c>
      <c r="F90" s="161" t="str">
        <f>+IFERROR(VLOOKUP(C90,Hoja1!$A$1:$I$82,3,0),"")</f>
        <v>La Alta Dirección hace seguimiento a las acciones correctivas relacionadas con las deficiencias comunicadas sobre el Sistema de Control Interno y si se han cumplido en el tiempo establecido</v>
      </c>
      <c r="G90" s="160">
        <f>+IFERROR(VLOOKUP(C90,Hoja1!$A$1:$K$82,11,0),"")</f>
        <v>3</v>
      </c>
      <c r="H90" s="162">
        <f>+IFERROR(VLOOKUP(C90,Hoja1!$A$1:$L$82,12,0),"")</f>
        <v>3</v>
      </c>
      <c r="I90" s="159" t="str">
        <f t="shared" si="3"/>
        <v>Se encuentra presente y funciona correctamente, por lo tanto se requiere acciones o actividades  dirigidas a su mantenimiento dentro del marco de las lineas de defensa.</v>
      </c>
      <c r="J90" s="63">
        <v>76</v>
      </c>
      <c r="K90" s="111">
        <f>+VLOOKUP(C90,Hoja1!$A$1:$M$82,13,0)</f>
        <v>1</v>
      </c>
      <c r="L90" s="590"/>
      <c r="M90" s="60"/>
      <c r="N90" s="40"/>
      <c r="O90" s="40"/>
      <c r="P90" s="40"/>
      <c r="Q90" s="40"/>
      <c r="R90" s="40"/>
      <c r="S90" s="40"/>
    </row>
    <row r="91" spans="2:19" s="36" customFormat="1" ht="99.75" customHeight="1" x14ac:dyDescent="0.2">
      <c r="B91" s="114">
        <f t="shared" si="2"/>
        <v>77</v>
      </c>
      <c r="C91" s="160" t="str">
        <f>+IFERROR(INDEX(Hoja1!$A$2:$A$82,MATCH(J91,Hoja1!$H$2:$H$82,0)),"")</f>
        <v xml:space="preserve">17.5 </v>
      </c>
      <c r="D91" s="161" t="str">
        <f>IFERROR(VLOOKUP(C91,Hoja1!$A$2:$H$82,4,0),"")</f>
        <v>Monitoreo - Supervisión</v>
      </c>
      <c r="E91" s="161" t="str">
        <f>+IFERROR(VLOOKUP(C91,Hoja1!$A$1:$J$82,10,0),"")</f>
        <v>Evaluación y comunicación de deficiencias oportunamente (Evalúa los resultados, Comunica las deficiencias y Monitorea las medidas correctivas).</v>
      </c>
      <c r="F91" s="161" t="str">
        <f>+IFERROR(VLOOKUP(C91,Hoja1!$A$1:$I$82,3,0),"")</f>
        <v>Los procesos y/o servicios tercerizados, son evaluados acorde con su nivel de riesgos</v>
      </c>
      <c r="G91" s="160">
        <f>+IFERROR(VLOOKUP(C91,Hoja1!$A$1:$K$82,11,0),"")</f>
        <v>3</v>
      </c>
      <c r="H91" s="162">
        <f>+IFERROR(VLOOKUP(C91,Hoja1!$A$1:$L$82,12,0),"")</f>
        <v>3</v>
      </c>
      <c r="I91" s="159" t="str">
        <f t="shared" si="3"/>
        <v>Se encuentra presente y funciona correctamente, por lo tanto se requiere acciones o actividades  dirigidas a su mantenimiento dentro del marco de las lineas de defensa.</v>
      </c>
      <c r="J91" s="63">
        <v>77</v>
      </c>
      <c r="K91" s="112">
        <f>+VLOOKUP(C91,Hoja1!$A$1:$M$82,13,0)</f>
        <v>1</v>
      </c>
      <c r="L91" s="590"/>
      <c r="M91" s="60"/>
      <c r="N91" s="40"/>
      <c r="O91" s="40"/>
      <c r="P91" s="40"/>
      <c r="Q91" s="40"/>
      <c r="R91" s="40"/>
      <c r="S91" s="40"/>
    </row>
    <row r="92" spans="2:19" s="36" customFormat="1" ht="99.75" customHeight="1" x14ac:dyDescent="0.2">
      <c r="B92" s="115">
        <f t="shared" si="2"/>
        <v>78</v>
      </c>
      <c r="C92" s="160" t="str">
        <f>+IFERROR(INDEX(Hoja1!$A$2:$A$82,MATCH(J92,Hoja1!$H$2:$H$82,0)),"")</f>
        <v xml:space="preserve">17.6 </v>
      </c>
      <c r="D92" s="161" t="str">
        <f>IFERROR(VLOOKUP(C92,Hoja1!$A$2:$H$82,4,0),"")</f>
        <v>Monitoreo - Supervisión</v>
      </c>
      <c r="E92" s="161" t="str">
        <f>+IFERROR(VLOOKUP(C92,Hoja1!$A$1:$J$82,10,0),"")</f>
        <v>Evaluación y comunicación de deficiencias oportunamente (Evalúa los resultados, Comunica las deficiencias y Monitorea las medidas correctivas).</v>
      </c>
      <c r="F92" s="161" t="str">
        <f>+IFERROR(VLOOKUP(C92,Hoja1!$A$1:$I$82,3,0),"")</f>
        <v>Se evalúa la información suministrada por los usuarios (Sistema PQRD), así como de otras partes interesadas para la mejora del  Sistema de Control Interno de la Entidad</v>
      </c>
      <c r="G92" s="160">
        <f>+IFERROR(VLOOKUP(C92,Hoja1!$A$1:$K$82,11,0),"")</f>
        <v>3</v>
      </c>
      <c r="H92" s="162">
        <f>+IFERROR(VLOOKUP(C92,Hoja1!$A$1:$L$82,12,0),"")</f>
        <v>3</v>
      </c>
      <c r="I92" s="159" t="str">
        <f t="shared" si="3"/>
        <v>Se encuentra presente y funciona correctamente, por lo tanto se requiere acciones o actividades  dirigidas a su mantenimiento dentro del marco de las lineas de defensa.</v>
      </c>
      <c r="J92" s="63">
        <v>78</v>
      </c>
      <c r="K92" s="112">
        <f>+VLOOKUP(C92,Hoja1!$A$1:$M$82,13,0)</f>
        <v>1</v>
      </c>
      <c r="L92" s="590"/>
      <c r="M92" s="60"/>
      <c r="N92" s="40"/>
      <c r="O92" s="40"/>
      <c r="P92" s="40"/>
      <c r="Q92" s="40"/>
      <c r="R92" s="40"/>
      <c r="S92" s="40"/>
    </row>
    <row r="93" spans="2:19" s="36" customFormat="1" ht="99.75" customHeight="1" x14ac:dyDescent="0.2">
      <c r="B93" s="114">
        <f t="shared" si="2"/>
        <v>79</v>
      </c>
      <c r="C93" s="160" t="str">
        <f>+IFERROR(INDEX(Hoja1!$A$2:$A$82,MATCH(J93,Hoja1!$H$2:$H$82,0)),"")</f>
        <v xml:space="preserve">17.7 </v>
      </c>
      <c r="D93" s="161" t="str">
        <f>IFERROR(VLOOKUP(C93,Hoja1!$A$2:$H$82,4,0),"")</f>
        <v>Monitoreo - Supervisión</v>
      </c>
      <c r="E93" s="161" t="str">
        <f>+IFERROR(VLOOKUP(C93,Hoja1!$A$1:$J$82,10,0),"")</f>
        <v>Evaluación y comunicación de deficiencias oportunamente (Evalúa los resultados, Comunica las deficiencias y Monitorea las medidas correctivas).</v>
      </c>
      <c r="F93" s="161" t="str">
        <f>+IFERROR(VLOOKUP(C93,Hoja1!$A$1:$I$82,3,0),"")</f>
        <v>Verificación del avance y cumplimiento de las acciones incluidas en los planes de mejoramiento producto de las autoevaluaciones. (2ª Línea).</v>
      </c>
      <c r="G93" s="160">
        <f>+IFERROR(VLOOKUP(C93,Hoja1!$A$1:$K$82,11,0),"")</f>
        <v>3</v>
      </c>
      <c r="H93" s="162">
        <f>+IFERROR(VLOOKUP(C93,Hoja1!$A$1:$L$82,12,0),"")</f>
        <v>3</v>
      </c>
      <c r="I93" s="159" t="str">
        <f t="shared" si="3"/>
        <v>Se encuentra presente y funciona correctamente, por lo tanto se requiere acciones o actividades  dirigidas a su mantenimiento dentro del marco de las lineas de defensa.</v>
      </c>
      <c r="J93" s="63">
        <v>79</v>
      </c>
      <c r="K93" s="112">
        <f>+VLOOKUP(C93,Hoja1!$A$1:$M$82,13,0)</f>
        <v>1</v>
      </c>
      <c r="L93" s="590"/>
      <c r="M93" s="60"/>
      <c r="N93" s="40"/>
      <c r="O93" s="40"/>
      <c r="P93" s="40"/>
      <c r="Q93" s="40"/>
      <c r="R93" s="40"/>
      <c r="S93" s="40"/>
    </row>
    <row r="94" spans="2:19" s="36" customFormat="1" ht="99.75" customHeight="1" x14ac:dyDescent="0.2">
      <c r="B94" s="114">
        <f t="shared" si="2"/>
        <v>80</v>
      </c>
      <c r="C94" s="160" t="str">
        <f>+IFERROR(INDEX(Hoja1!$A$2:$A$82,MATCH(J94,Hoja1!$H$2:$H$82,0)),"")</f>
        <v xml:space="preserve">17.8 </v>
      </c>
      <c r="D94" s="161" t="str">
        <f>IFERROR(VLOOKUP(C94,Hoja1!$A$2:$H$82,4,0),"")</f>
        <v>Monitoreo - Supervisión</v>
      </c>
      <c r="E94" s="161" t="str">
        <f>+IFERROR(VLOOKUP(C94,Hoja1!$A$1:$J$82,10,0),"")</f>
        <v>Evaluación y comunicación de deficiencias oportunamente (Evalúa los resultados, Comunica las deficiencias y Monitorea las medidas correctivas).</v>
      </c>
      <c r="F94" s="161" t="str">
        <f>+IFERROR(VLOOKUP(C94,Hoja1!$A$1:$I$82,3,0),"")</f>
        <v>Evaluación de la efectividad de las acciones incluidas en los Planes de mejoramiento producto de las auditorías internas y de entes externos. (3ª Línea</v>
      </c>
      <c r="G94" s="160">
        <f>+IFERROR(VLOOKUP(C94,Hoja1!$A$1:$K$82,11,0),"")</f>
        <v>3</v>
      </c>
      <c r="H94" s="162">
        <f>+IFERROR(VLOOKUP(C94,Hoja1!$A$1:$L$82,12,0),"")</f>
        <v>3</v>
      </c>
      <c r="I94" s="159" t="str">
        <f t="shared" si="3"/>
        <v>Se encuentra presente y funciona correctamente, por lo tanto se requiere acciones o actividades  dirigidas a su mantenimiento dentro del marco de las lineas de defensa.</v>
      </c>
      <c r="J94" s="63">
        <v>80</v>
      </c>
      <c r="K94" s="112">
        <f>+VLOOKUP(C94,Hoja1!$A$1:$M$82,13,0)</f>
        <v>1</v>
      </c>
      <c r="L94" s="590"/>
      <c r="M94" s="60"/>
      <c r="N94" s="40"/>
      <c r="O94" s="40"/>
      <c r="P94" s="40"/>
      <c r="Q94" s="40"/>
      <c r="R94" s="40"/>
      <c r="S94" s="40"/>
    </row>
    <row r="95" spans="2:19" s="36" customFormat="1" ht="99.75" customHeight="1" x14ac:dyDescent="0.2">
      <c r="B95" s="114">
        <f t="shared" si="2"/>
        <v>81</v>
      </c>
      <c r="C95" s="160" t="str">
        <f>+IFERROR(INDEX(Hoja1!$A$2:$A$82,MATCH(J95,Hoja1!$H$2:$H$82,0)),"")</f>
        <v xml:space="preserve">17.9 </v>
      </c>
      <c r="D95" s="161" t="str">
        <f>IFERROR(VLOOKUP(C95,Hoja1!$A$2:$H$82,4,0),"")</f>
        <v>Monitoreo - Supervisión</v>
      </c>
      <c r="E95" s="161" t="str">
        <f>+IFERROR(VLOOKUP(C95,Hoja1!$A$1:$J$82,10,0),"")</f>
        <v>Evaluación y comunicación de deficiencias oportunamente (Evalúa los resultados, Comunica las deficiencias y Monitorea las medidas correctivas).</v>
      </c>
      <c r="F95" s="161" t="str">
        <f>+IFERROR(VLOOKUP(C95,Hoja1!$A$1:$I$82,3,0),"")</f>
        <v>Las deficiencias de control interno son reportadas a los responsables de nivel jerárquico superior, para tomar la acciones correspondientes</v>
      </c>
      <c r="G95" s="160">
        <f>+IFERROR(VLOOKUP(C95,Hoja1!$A$1:$K$82,11,0),"")</f>
        <v>3</v>
      </c>
      <c r="H95" s="162">
        <f>+IFERROR(VLOOKUP(C95,Hoja1!$A$1:$L$82,12,0),"")</f>
        <v>3</v>
      </c>
      <c r="I95" s="159" t="str">
        <f t="shared" si="3"/>
        <v>Se encuentra presente y funciona correctamente, por lo tanto se requiere acciones o actividades  dirigidas a su mantenimiento dentro del marco de las lineas de defensa.</v>
      </c>
      <c r="J95" s="63">
        <v>81</v>
      </c>
      <c r="K95" s="112">
        <f>+VLOOKUP(C95,Hoja1!$A$1:$M$82,13,0)</f>
        <v>1</v>
      </c>
      <c r="L95" s="591"/>
      <c r="M95" s="60"/>
      <c r="N95" s="40"/>
      <c r="O95" s="40"/>
      <c r="P95" s="40"/>
      <c r="Q95" s="40"/>
      <c r="R95" s="40"/>
      <c r="S95" s="40"/>
    </row>
    <row r="96" spans="2:19" s="36" customFormat="1" ht="99.75" customHeight="1" x14ac:dyDescent="0.2">
      <c r="B96" s="115">
        <f t="shared" si="2"/>
        <v>82</v>
      </c>
      <c r="C96" s="160" t="str">
        <f>+IFERROR(INDEX(Hoja1!$A$2:$A$82,MATCH(J96,Hoja1!$H$2:$H$82,0)),"")</f>
        <v/>
      </c>
      <c r="D96" s="161" t="str">
        <f>IFERROR(VLOOKUP(C96,Hoja1!$A$2:$H$82,4,0),"")</f>
        <v/>
      </c>
      <c r="E96" s="161" t="str">
        <f>+IFERROR(VLOOKUP(C96,Hoja1!$A$1:$J$82,10,0),"")</f>
        <v/>
      </c>
      <c r="F96" s="161" t="str">
        <f>+IFERROR(VLOOKUP(C96,Hoja1!$A$1:$I$82,3,0),"")</f>
        <v/>
      </c>
      <c r="G96" s="160" t="str">
        <f>+IFERROR(VLOOKUP(C96,Hoja1!$A$1:$K$82,11,0),"")</f>
        <v/>
      </c>
      <c r="H96" s="162" t="str">
        <f>+IFERROR(VLOOKUP(C96,Hoja1!$A$1:$L$82,12,0),"")</f>
        <v/>
      </c>
      <c r="I96" s="163"/>
      <c r="J96" s="63">
        <v>82</v>
      </c>
      <c r="K96" s="62"/>
      <c r="L96" s="40"/>
      <c r="M96" s="60"/>
      <c r="N96" s="40"/>
      <c r="O96" s="40"/>
      <c r="P96" s="40"/>
      <c r="Q96" s="40"/>
      <c r="R96" s="40"/>
      <c r="S96" s="40"/>
    </row>
    <row r="97" spans="2:19" s="36" customFormat="1" ht="99.75" customHeight="1" x14ac:dyDescent="0.2">
      <c r="B97" s="114">
        <f t="shared" si="2"/>
        <v>83</v>
      </c>
      <c r="C97" s="160" t="str">
        <f>+IFERROR(INDEX(Hoja1!$A$2:$A$82,MATCH(J97,Hoja1!$H$2:$H$82,0)),"")</f>
        <v/>
      </c>
      <c r="D97" s="161" t="str">
        <f>IFERROR(VLOOKUP(C97,Hoja1!$A$2:$H$82,4,0),"")</f>
        <v/>
      </c>
      <c r="E97" s="161" t="str">
        <f>+IFERROR(VLOOKUP(C97,Hoja1!$A$1:$J$82,10,0),"")</f>
        <v/>
      </c>
      <c r="F97" s="161" t="str">
        <f>+IFERROR(VLOOKUP(C97,Hoja1!$A$1:$I$82,3,0),"")</f>
        <v/>
      </c>
      <c r="G97" s="160" t="str">
        <f>+IFERROR(VLOOKUP(C97,Hoja1!$A$1:$K$82,11,0),"")</f>
        <v/>
      </c>
      <c r="H97" s="162" t="str">
        <f>+IFERROR(VLOOKUP(C97,Hoja1!$A$1:$L$82,12,0),"")</f>
        <v/>
      </c>
      <c r="I97" s="163"/>
      <c r="J97" s="63">
        <v>83</v>
      </c>
      <c r="K97" s="66"/>
      <c r="M97" s="60"/>
      <c r="N97" s="40"/>
      <c r="O97" s="40"/>
      <c r="P97" s="40"/>
      <c r="Q97" s="40"/>
      <c r="R97" s="40"/>
      <c r="S97" s="40"/>
    </row>
    <row r="98" spans="2:19" s="36" customFormat="1" ht="99.75" customHeight="1" x14ac:dyDescent="0.2">
      <c r="B98" s="115">
        <f t="shared" si="2"/>
        <v>84</v>
      </c>
      <c r="C98" s="160" t="str">
        <f>+IFERROR(INDEX(Hoja1!$A$2:$A$82,MATCH(J98,Hoja1!$H$2:$H$82,0)),"")</f>
        <v/>
      </c>
      <c r="D98" s="161" t="str">
        <f>IFERROR(VLOOKUP(C98,Hoja1!$A$2:$H$82,4,0),"")</f>
        <v/>
      </c>
      <c r="E98" s="161" t="str">
        <f>+IFERROR(VLOOKUP(C98,Hoja1!$A$1:$J$82,10,0),"")</f>
        <v/>
      </c>
      <c r="F98" s="161" t="str">
        <f>+IFERROR(VLOOKUP(C98,Hoja1!$A$1:$I$82,3,0),"")</f>
        <v/>
      </c>
      <c r="G98" s="160" t="str">
        <f>+IFERROR(VLOOKUP(C98,Hoja1!$A$1:$K$82,11,0),"")</f>
        <v/>
      </c>
      <c r="H98" s="162" t="str">
        <f>+IFERROR(VLOOKUP(C98,Hoja1!$A$1:$L$82,12,0),"")</f>
        <v/>
      </c>
      <c r="I98" s="163"/>
      <c r="J98" s="63">
        <v>84</v>
      </c>
      <c r="K98" s="62"/>
      <c r="M98" s="60"/>
      <c r="N98" s="40"/>
      <c r="O98" s="40"/>
      <c r="P98" s="40"/>
      <c r="Q98" s="40"/>
      <c r="R98" s="40"/>
      <c r="S98" s="40"/>
    </row>
    <row r="99" spans="2:19" s="36" customFormat="1" ht="99.75" customHeight="1" x14ac:dyDescent="0.2">
      <c r="B99" s="114">
        <f t="shared" si="2"/>
        <v>85</v>
      </c>
      <c r="C99" s="160" t="str">
        <f>+IFERROR(INDEX(Hoja1!$A$2:$A$82,MATCH(J99,Hoja1!$H$2:$H$82,0)),"")</f>
        <v/>
      </c>
      <c r="D99" s="161" t="str">
        <f>IFERROR(VLOOKUP(C99,Hoja1!$A$2:$H$82,4,0),"")</f>
        <v/>
      </c>
      <c r="E99" s="161" t="str">
        <f>+IFERROR(VLOOKUP(C99,Hoja1!$A$1:$J$82,10,0),"")</f>
        <v/>
      </c>
      <c r="F99" s="161" t="str">
        <f>+IFERROR(VLOOKUP(C99,Hoja1!$A$1:$I$82,3,0),"")</f>
        <v/>
      </c>
      <c r="G99" s="160" t="str">
        <f>+IFERROR(VLOOKUP(C99,Hoja1!$A$1:$K$82,11,0),"")</f>
        <v/>
      </c>
      <c r="H99" s="162" t="str">
        <f>+IFERROR(VLOOKUP(C99,Hoja1!$A$1:$L$82,12,0),"")</f>
        <v/>
      </c>
      <c r="I99" s="163"/>
      <c r="J99" s="63">
        <v>85</v>
      </c>
      <c r="K99" s="62"/>
      <c r="M99" s="60"/>
      <c r="N99" s="40"/>
      <c r="O99" s="40"/>
      <c r="P99" s="40"/>
      <c r="Q99" s="40"/>
      <c r="R99" s="40"/>
      <c r="S99" s="40"/>
    </row>
    <row r="100" spans="2:19" s="36" customFormat="1" ht="99.75" customHeight="1" x14ac:dyDescent="0.2">
      <c r="B100" s="114">
        <f t="shared" si="2"/>
        <v>86</v>
      </c>
      <c r="C100" s="160" t="str">
        <f>+IFERROR(INDEX(Hoja1!$A$2:$A$82,MATCH(J100,Hoja1!$H$2:$H$82,0)),"")</f>
        <v/>
      </c>
      <c r="D100" s="161" t="str">
        <f>IFERROR(VLOOKUP(C100,Hoja1!$A$2:$H$82,4,0),"")</f>
        <v/>
      </c>
      <c r="E100" s="161" t="str">
        <f>+IFERROR(VLOOKUP(C100,Hoja1!$A$1:$J$82,10,0),"")</f>
        <v/>
      </c>
      <c r="F100" s="161" t="str">
        <f>+IFERROR(VLOOKUP(C100,Hoja1!$A$1:$I$82,3,0),"")</f>
        <v/>
      </c>
      <c r="G100" s="160" t="str">
        <f>+IFERROR(VLOOKUP(C100,Hoja1!$A$1:$K$82,11,0),"")</f>
        <v/>
      </c>
      <c r="H100" s="162" t="str">
        <f>+IFERROR(VLOOKUP(C100,Hoja1!$A$1:$L$82,12,0),"")</f>
        <v/>
      </c>
      <c r="I100" s="163"/>
      <c r="J100" s="63">
        <v>86</v>
      </c>
      <c r="K100" s="62"/>
      <c r="M100" s="60"/>
      <c r="N100" s="40"/>
      <c r="O100" s="40"/>
      <c r="P100" s="40"/>
      <c r="Q100" s="40"/>
      <c r="R100" s="40"/>
      <c r="S100" s="40"/>
    </row>
    <row r="101" spans="2:19" s="36" customFormat="1" ht="99.75" customHeight="1" x14ac:dyDescent="0.2">
      <c r="B101" s="114">
        <f t="shared" si="2"/>
        <v>87</v>
      </c>
      <c r="C101" s="160" t="str">
        <f>+IFERROR(INDEX(Hoja1!$A$2:$A$82,MATCH(J101,Hoja1!$H$2:$H$82,0)),"")</f>
        <v/>
      </c>
      <c r="D101" s="161" t="str">
        <f>IFERROR(VLOOKUP(C101,Hoja1!$A$2:$H$82,4,0),"")</f>
        <v/>
      </c>
      <c r="E101" s="161" t="str">
        <f>+IFERROR(VLOOKUP(C101,Hoja1!$A$1:$J$82,10,0),"")</f>
        <v/>
      </c>
      <c r="F101" s="161" t="str">
        <f>+IFERROR(VLOOKUP(C101,Hoja1!$A$1:$I$82,3,0),"")</f>
        <v/>
      </c>
      <c r="G101" s="160" t="str">
        <f>+IFERROR(VLOOKUP(C101,Hoja1!$A$1:$K$82,11,0),"")</f>
        <v/>
      </c>
      <c r="H101" s="162" t="str">
        <f>+IFERROR(VLOOKUP(C101,Hoja1!$A$1:$L$82,12,0),"")</f>
        <v/>
      </c>
      <c r="I101" s="163"/>
      <c r="J101" s="63">
        <v>87</v>
      </c>
      <c r="K101" s="62"/>
      <c r="M101" s="60"/>
      <c r="N101" s="40"/>
      <c r="O101" s="40"/>
      <c r="P101" s="40"/>
      <c r="Q101" s="40"/>
      <c r="R101" s="40"/>
      <c r="S101" s="40"/>
    </row>
    <row r="102" spans="2:19" s="36" customFormat="1" ht="99.75" customHeight="1" x14ac:dyDescent="0.2">
      <c r="B102" s="115">
        <f t="shared" si="2"/>
        <v>88</v>
      </c>
      <c r="C102" s="160" t="str">
        <f>+IFERROR(INDEX(Hoja1!$A$2:$A$82,MATCH(J102,Hoja1!$H$2:$H$82,0)),"")</f>
        <v/>
      </c>
      <c r="D102" s="161" t="str">
        <f>IFERROR(VLOOKUP(C102,Hoja1!$A$2:$H$82,4,0),"")</f>
        <v/>
      </c>
      <c r="E102" s="161" t="str">
        <f>+IFERROR(VLOOKUP(C102,Hoja1!$A$1:$J$82,10,0),"")</f>
        <v/>
      </c>
      <c r="F102" s="161" t="str">
        <f>+IFERROR(VLOOKUP(C102,Hoja1!$A$1:$I$82,3,0),"")</f>
        <v/>
      </c>
      <c r="G102" s="160" t="str">
        <f>+IFERROR(VLOOKUP(C102,Hoja1!$A$1:$K$82,11,0),"")</f>
        <v/>
      </c>
      <c r="H102" s="162" t="str">
        <f>+IFERROR(VLOOKUP(C102,Hoja1!$A$1:$L$82,12,0),"")</f>
        <v/>
      </c>
      <c r="I102" s="163"/>
      <c r="J102" s="63">
        <v>88</v>
      </c>
      <c r="K102" s="62"/>
      <c r="M102" s="60"/>
      <c r="N102" s="40"/>
      <c r="O102" s="40"/>
      <c r="P102" s="40"/>
      <c r="Q102" s="40"/>
      <c r="R102" s="40"/>
      <c r="S102" s="40"/>
    </row>
    <row r="103" spans="2:19" s="36" customFormat="1" ht="99.75" customHeight="1" x14ac:dyDescent="0.2">
      <c r="B103" s="114">
        <f t="shared" si="2"/>
        <v>89</v>
      </c>
      <c r="C103" s="160" t="str">
        <f>+IFERROR(INDEX(Hoja1!$A$2:$A$82,MATCH(J103,Hoja1!$H$2:$H$82,0)),"")</f>
        <v/>
      </c>
      <c r="D103" s="161" t="str">
        <f>IFERROR(VLOOKUP(C103,Hoja1!$A$2:$H$82,4,0),"")</f>
        <v/>
      </c>
      <c r="E103" s="161" t="str">
        <f>+IFERROR(VLOOKUP(C103,Hoja1!$A$1:$J$82,10,0),"")</f>
        <v/>
      </c>
      <c r="F103" s="161" t="str">
        <f>+IFERROR(VLOOKUP(C103,Hoja1!$A$1:$I$82,3,0),"")</f>
        <v/>
      </c>
      <c r="G103" s="160" t="str">
        <f>+IFERROR(VLOOKUP(C103,Hoja1!$A$1:$K$82,11,0),"")</f>
        <v/>
      </c>
      <c r="H103" s="162" t="str">
        <f>+IFERROR(VLOOKUP(C103,Hoja1!$A$1:$L$82,12,0),"")</f>
        <v/>
      </c>
      <c r="I103" s="163"/>
      <c r="J103" s="63">
        <v>89</v>
      </c>
      <c r="K103" s="62"/>
      <c r="M103" s="60"/>
      <c r="N103" s="40"/>
      <c r="O103" s="40"/>
      <c r="P103" s="40"/>
      <c r="Q103" s="40"/>
      <c r="R103" s="40"/>
      <c r="S103" s="40"/>
    </row>
    <row r="104" spans="2:19" s="36" customFormat="1" ht="99.75" customHeight="1" x14ac:dyDescent="0.2">
      <c r="B104" s="115">
        <f t="shared" si="2"/>
        <v>90</v>
      </c>
      <c r="C104" s="160" t="str">
        <f>+IFERROR(INDEX(Hoja1!$A$2:$A$82,MATCH(J104,Hoja1!$H$2:$H$82,0)),"")</f>
        <v/>
      </c>
      <c r="D104" s="161" t="str">
        <f>IFERROR(VLOOKUP(C104,Hoja1!$A$2:$H$82,4,0),"")</f>
        <v/>
      </c>
      <c r="E104" s="161" t="str">
        <f>+IFERROR(VLOOKUP(C104,Hoja1!$A$1:$J$82,10,0),"")</f>
        <v/>
      </c>
      <c r="F104" s="161" t="str">
        <f>+IFERROR(VLOOKUP(C104,Hoja1!$A$1:$I$82,3,0),"")</f>
        <v/>
      </c>
      <c r="G104" s="160" t="str">
        <f>+IFERROR(VLOOKUP(C104,Hoja1!$A$1:$K$82,11,0),"")</f>
        <v/>
      </c>
      <c r="H104" s="162" t="str">
        <f>+IFERROR(VLOOKUP(C104,Hoja1!$A$1:$L$82,12,0),"")</f>
        <v/>
      </c>
      <c r="I104" s="163"/>
      <c r="J104" s="63">
        <v>90</v>
      </c>
      <c r="K104" s="62"/>
      <c r="M104" s="60"/>
      <c r="N104" s="40"/>
      <c r="O104" s="40"/>
      <c r="P104" s="40"/>
      <c r="Q104" s="40"/>
      <c r="R104" s="40"/>
      <c r="S104" s="40"/>
    </row>
    <row r="105" spans="2:19" s="36" customFormat="1" ht="99.75" customHeight="1" x14ac:dyDescent="0.2">
      <c r="B105" s="114">
        <f t="shared" si="2"/>
        <v>91</v>
      </c>
      <c r="C105" s="160" t="str">
        <f>+IFERROR(INDEX(Hoja1!$A$2:$A$82,MATCH(J105,Hoja1!$H$2:$H$82,0)),"")</f>
        <v/>
      </c>
      <c r="D105" s="161" t="str">
        <f>IFERROR(VLOOKUP(C105,Hoja1!$A$2:$H$82,4,0),"")</f>
        <v/>
      </c>
      <c r="E105" s="161" t="str">
        <f>+IFERROR(VLOOKUP(C105,Hoja1!$A$1:$J$82,10,0),"")</f>
        <v/>
      </c>
      <c r="F105" s="161" t="str">
        <f>+IFERROR(VLOOKUP(C105,Hoja1!$A$1:$I$82,3,0),"")</f>
        <v/>
      </c>
      <c r="G105" s="160" t="str">
        <f>+IFERROR(VLOOKUP(C105,Hoja1!$A$1:$K$82,11,0),"")</f>
        <v/>
      </c>
      <c r="H105" s="162" t="str">
        <f>+IFERROR(VLOOKUP(C105,Hoja1!$A$1:$L$82,12,0),"")</f>
        <v/>
      </c>
      <c r="I105" s="163"/>
      <c r="J105" s="63">
        <v>91</v>
      </c>
      <c r="K105" s="62"/>
      <c r="M105" s="60"/>
      <c r="N105" s="40"/>
      <c r="O105" s="40"/>
      <c r="P105" s="40"/>
      <c r="Q105" s="40"/>
      <c r="R105" s="40"/>
      <c r="S105" s="40"/>
    </row>
    <row r="106" spans="2:19" s="36" customFormat="1" ht="99.75" customHeight="1" x14ac:dyDescent="0.2">
      <c r="B106" s="114">
        <f t="shared" si="2"/>
        <v>92</v>
      </c>
      <c r="C106" s="160" t="str">
        <f>+IFERROR(INDEX(Hoja1!$A$2:$A$82,MATCH(J106,Hoja1!$H$2:$H$82,0)),"")</f>
        <v/>
      </c>
      <c r="D106" s="161" t="str">
        <f>IFERROR(VLOOKUP(C106,Hoja1!$A$2:$H$82,4,0),"")</f>
        <v/>
      </c>
      <c r="E106" s="161" t="str">
        <f>+IFERROR(VLOOKUP(C106,Hoja1!$A$1:$J$82,10,0),"")</f>
        <v/>
      </c>
      <c r="F106" s="161" t="str">
        <f>+IFERROR(VLOOKUP(C106,Hoja1!$A$1:$I$82,3,0),"")</f>
        <v/>
      </c>
      <c r="G106" s="160" t="str">
        <f>+IFERROR(VLOOKUP(C106,Hoja1!$A$1:$K$82,11,0),"")</f>
        <v/>
      </c>
      <c r="H106" s="162" t="str">
        <f>+IFERROR(VLOOKUP(C106,Hoja1!$A$1:$L$82,12,0),"")</f>
        <v/>
      </c>
      <c r="I106" s="163"/>
      <c r="J106" s="63">
        <v>92</v>
      </c>
      <c r="K106" s="62"/>
      <c r="M106" s="60"/>
      <c r="N106" s="40"/>
      <c r="O106" s="40"/>
      <c r="P106" s="40"/>
      <c r="Q106" s="40"/>
      <c r="R106" s="40"/>
      <c r="S106" s="40"/>
    </row>
    <row r="107" spans="2:19" s="36" customFormat="1" ht="99.75" customHeight="1" x14ac:dyDescent="0.2">
      <c r="B107" s="114">
        <f t="shared" si="2"/>
        <v>93</v>
      </c>
      <c r="C107" s="160" t="str">
        <f>+IFERROR(INDEX(Hoja1!$A$2:$A$82,MATCH(J107,Hoja1!$H$2:$H$82,0)),"")</f>
        <v/>
      </c>
      <c r="D107" s="161" t="str">
        <f>IFERROR(VLOOKUP(C107,Hoja1!$A$2:$H$82,4,0),"")</f>
        <v/>
      </c>
      <c r="E107" s="161" t="str">
        <f>+IFERROR(VLOOKUP(C107,Hoja1!$A$1:$J$82,10,0),"")</f>
        <v/>
      </c>
      <c r="F107" s="161" t="str">
        <f>+IFERROR(VLOOKUP(C107,Hoja1!$A$1:$I$82,3,0),"")</f>
        <v/>
      </c>
      <c r="G107" s="160" t="str">
        <f>+IFERROR(VLOOKUP(C107,Hoja1!$A$1:$K$82,11,0),"")</f>
        <v/>
      </c>
      <c r="H107" s="162" t="str">
        <f>+IFERROR(VLOOKUP(C107,Hoja1!$A$1:$L$82,12,0),"")</f>
        <v/>
      </c>
      <c r="I107" s="163"/>
      <c r="J107" s="63">
        <v>93</v>
      </c>
      <c r="K107" s="62"/>
      <c r="M107" s="60"/>
      <c r="N107" s="40"/>
      <c r="O107" s="40"/>
      <c r="P107" s="40"/>
      <c r="Q107" s="40"/>
      <c r="R107" s="40"/>
      <c r="S107" s="40"/>
    </row>
    <row r="108" spans="2:19" s="36" customFormat="1" ht="99.75" customHeight="1" x14ac:dyDescent="0.2">
      <c r="B108" s="115">
        <f t="shared" si="2"/>
        <v>94</v>
      </c>
      <c r="C108" s="160" t="str">
        <f>+IFERROR(INDEX(Hoja1!$A$2:$A$82,MATCH(J108,Hoja1!$H$2:$H$82,0)),"")</f>
        <v/>
      </c>
      <c r="D108" s="161" t="str">
        <f>IFERROR(VLOOKUP(C108,Hoja1!$A$2:$H$82,4,0),"")</f>
        <v/>
      </c>
      <c r="E108" s="161" t="str">
        <f>+IFERROR(VLOOKUP(C108,Hoja1!$A$1:$J$82,10,0),"")</f>
        <v/>
      </c>
      <c r="F108" s="161" t="str">
        <f>+IFERROR(VLOOKUP(C108,Hoja1!$A$1:$I$82,3,0),"")</f>
        <v/>
      </c>
      <c r="G108" s="160" t="str">
        <f>+IFERROR(VLOOKUP(C108,Hoja1!$A$1:$K$82,11,0),"")</f>
        <v/>
      </c>
      <c r="H108" s="162" t="str">
        <f>+IFERROR(VLOOKUP(C108,Hoja1!$A$1:$L$82,12,0),"")</f>
        <v/>
      </c>
      <c r="I108" s="163"/>
      <c r="J108" s="63">
        <v>94</v>
      </c>
      <c r="K108" s="62"/>
      <c r="M108" s="60"/>
      <c r="N108" s="40"/>
      <c r="O108" s="40"/>
      <c r="P108" s="40"/>
      <c r="Q108" s="40"/>
      <c r="R108" s="40"/>
      <c r="S108" s="40"/>
    </row>
    <row r="109" spans="2:19" s="36" customFormat="1" ht="99.75" customHeight="1" x14ac:dyDescent="0.2">
      <c r="B109" s="114">
        <f t="shared" si="2"/>
        <v>95</v>
      </c>
      <c r="C109" s="160" t="str">
        <f>+IFERROR(INDEX(Hoja1!$A$2:$A$82,MATCH(J109,Hoja1!$H$2:$H$82,0)),"")</f>
        <v/>
      </c>
      <c r="D109" s="161" t="str">
        <f>IFERROR(VLOOKUP(C109,Hoja1!$A$2:$H$82,4,0),"")</f>
        <v/>
      </c>
      <c r="E109" s="161" t="str">
        <f>+IFERROR(VLOOKUP(C109,Hoja1!$A$1:$J$82,10,0),"")</f>
        <v/>
      </c>
      <c r="F109" s="161" t="str">
        <f>+IFERROR(VLOOKUP(C109,Hoja1!$A$1:$I$82,3,0),"")</f>
        <v/>
      </c>
      <c r="G109" s="160" t="str">
        <f>+IFERROR(VLOOKUP(C109,Hoja1!$A$1:$K$82,11,0),"")</f>
        <v/>
      </c>
      <c r="H109" s="162" t="str">
        <f>+IFERROR(VLOOKUP(C109,Hoja1!$A$1:$L$82,12,0),"")</f>
        <v/>
      </c>
      <c r="I109" s="163"/>
      <c r="J109" s="63">
        <v>95</v>
      </c>
      <c r="K109" s="62"/>
      <c r="M109" s="60"/>
      <c r="N109" s="40"/>
      <c r="O109" s="40"/>
      <c r="P109" s="40"/>
      <c r="Q109" s="40"/>
      <c r="R109" s="40"/>
      <c r="S109" s="40"/>
    </row>
    <row r="110" spans="2:19" s="36" customFormat="1" ht="99.75" customHeight="1" x14ac:dyDescent="0.2">
      <c r="B110" s="115">
        <f t="shared" si="2"/>
        <v>96</v>
      </c>
      <c r="C110" s="160" t="str">
        <f>+IFERROR(INDEX(Hoja1!$A$2:$A$82,MATCH(J110,Hoja1!$H$2:$H$82,0)),"")</f>
        <v/>
      </c>
      <c r="D110" s="161" t="str">
        <f>IFERROR(VLOOKUP(C110,Hoja1!$A$2:$H$82,4,0),"")</f>
        <v/>
      </c>
      <c r="E110" s="161" t="str">
        <f>+IFERROR(VLOOKUP(C110,Hoja1!$A$1:$J$82,10,0),"")</f>
        <v/>
      </c>
      <c r="F110" s="161" t="str">
        <f>+IFERROR(VLOOKUP(C110,Hoja1!$A$1:$I$82,3,0),"")</f>
        <v/>
      </c>
      <c r="G110" s="160" t="str">
        <f>+IFERROR(VLOOKUP(C110,Hoja1!$A$1:$K$82,11,0),"")</f>
        <v/>
      </c>
      <c r="H110" s="162" t="str">
        <f>+IFERROR(VLOOKUP(C110,Hoja1!$A$1:$L$82,12,0),"")</f>
        <v/>
      </c>
      <c r="I110" s="163"/>
      <c r="J110" s="63">
        <v>96</v>
      </c>
      <c r="K110" s="62"/>
      <c r="M110" s="60"/>
      <c r="N110" s="40"/>
      <c r="O110" s="40"/>
      <c r="P110" s="40"/>
      <c r="Q110" s="40"/>
      <c r="R110" s="40"/>
      <c r="S110" s="40"/>
    </row>
    <row r="111" spans="2:19" s="36" customFormat="1" ht="99.75" customHeight="1" x14ac:dyDescent="0.2">
      <c r="B111" s="114">
        <f t="shared" si="2"/>
        <v>97</v>
      </c>
      <c r="C111" s="160" t="str">
        <f>+IFERROR(INDEX(Hoja1!$A$2:$A$82,MATCH(J111,Hoja1!$H$2:$H$82,0)),"")</f>
        <v/>
      </c>
      <c r="D111" s="161" t="str">
        <f>IFERROR(VLOOKUP(C111,Hoja1!$A$2:$H$82,4,0),"")</f>
        <v/>
      </c>
      <c r="E111" s="161" t="str">
        <f>+IFERROR(VLOOKUP(C111,Hoja1!$A$1:$J$82,10,0),"")</f>
        <v/>
      </c>
      <c r="F111" s="161" t="str">
        <f>+IFERROR(VLOOKUP(C111,Hoja1!$A$1:$I$82,3,0),"")</f>
        <v/>
      </c>
      <c r="G111" s="160" t="str">
        <f>+IFERROR(VLOOKUP(C111,Hoja1!$A$1:$K$82,11,0),"")</f>
        <v/>
      </c>
      <c r="H111" s="162" t="str">
        <f>+IFERROR(VLOOKUP(C111,Hoja1!$A$1:$L$82,12,0),"")</f>
        <v/>
      </c>
      <c r="I111" s="163"/>
      <c r="J111" s="63">
        <v>97</v>
      </c>
      <c r="K111" s="62"/>
      <c r="M111" s="60"/>
      <c r="N111" s="40"/>
      <c r="O111" s="40"/>
      <c r="P111" s="40"/>
      <c r="Q111" s="40"/>
      <c r="R111" s="40"/>
      <c r="S111" s="40"/>
    </row>
    <row r="112" spans="2:19" s="36" customFormat="1" ht="99.75" customHeight="1" x14ac:dyDescent="0.2">
      <c r="B112" s="114">
        <f t="shared" si="2"/>
        <v>98</v>
      </c>
      <c r="C112" s="160" t="str">
        <f>+IFERROR(INDEX(Hoja1!$A$2:$A$82,MATCH(J112,Hoja1!$H$2:$H$82,0)),"")</f>
        <v/>
      </c>
      <c r="D112" s="161" t="str">
        <f>IFERROR(VLOOKUP(C112,Hoja1!$A$2:$H$82,4,0),"")</f>
        <v/>
      </c>
      <c r="E112" s="161" t="str">
        <f>+IFERROR(VLOOKUP(C112,Hoja1!$A$1:$J$82,10,0),"")</f>
        <v/>
      </c>
      <c r="F112" s="161" t="str">
        <f>+IFERROR(VLOOKUP(C112,Hoja1!$A$1:$I$82,3,0),"")</f>
        <v/>
      </c>
      <c r="G112" s="160" t="str">
        <f>+IFERROR(VLOOKUP(C112,Hoja1!$A$1:$K$82,11,0),"")</f>
        <v/>
      </c>
      <c r="H112" s="162" t="str">
        <f>+IFERROR(VLOOKUP(C112,Hoja1!$A$1:$L$82,12,0),"")</f>
        <v/>
      </c>
      <c r="I112" s="163"/>
      <c r="J112" s="63">
        <v>98</v>
      </c>
      <c r="K112" s="62"/>
      <c r="M112" s="60"/>
      <c r="N112" s="40"/>
      <c r="O112" s="40"/>
      <c r="P112" s="40"/>
      <c r="Q112" s="40"/>
      <c r="R112" s="40"/>
      <c r="S112" s="40"/>
    </row>
    <row r="113" spans="2:19" s="36" customFormat="1" ht="99.75" customHeight="1" x14ac:dyDescent="0.2">
      <c r="B113" s="114">
        <f t="shared" si="2"/>
        <v>99</v>
      </c>
      <c r="C113" s="160" t="str">
        <f>+IFERROR(INDEX(Hoja1!$A$2:$A$82,MATCH(J113,Hoja1!$H$2:$H$82,0)),"")</f>
        <v/>
      </c>
      <c r="D113" s="161" t="str">
        <f>IFERROR(VLOOKUP(C113,Hoja1!$A$2:$H$82,4,0),"")</f>
        <v/>
      </c>
      <c r="E113" s="161" t="str">
        <f>+IFERROR(VLOOKUP(C113,Hoja1!$A$1:$J$82,10,0),"")</f>
        <v/>
      </c>
      <c r="F113" s="161" t="str">
        <f>+IFERROR(VLOOKUP(C113,Hoja1!$A$1:$I$82,3,0),"")</f>
        <v/>
      </c>
      <c r="G113" s="160" t="str">
        <f>+IFERROR(VLOOKUP(C113,Hoja1!$A$1:$K$82,11,0),"")</f>
        <v/>
      </c>
      <c r="H113" s="162" t="str">
        <f>+IFERROR(VLOOKUP(C113,Hoja1!$A$1:$L$82,12,0),"")</f>
        <v/>
      </c>
      <c r="I113" s="163"/>
      <c r="J113" s="63">
        <v>99</v>
      </c>
      <c r="K113" s="62"/>
      <c r="M113" s="60"/>
      <c r="N113" s="40"/>
      <c r="O113" s="40"/>
      <c r="P113" s="40"/>
      <c r="Q113" s="40"/>
      <c r="R113" s="40"/>
      <c r="S113" s="40"/>
    </row>
    <row r="114" spans="2:19" s="36" customFormat="1" ht="99.75" customHeight="1" x14ac:dyDescent="0.2">
      <c r="B114" s="114">
        <f t="shared" si="2"/>
        <v>100</v>
      </c>
      <c r="C114" s="160" t="str">
        <f>+IFERROR(INDEX(Hoja1!$A$2:$A$82,MATCH(J114,Hoja1!$H$2:$H$82,0)),"")</f>
        <v/>
      </c>
      <c r="D114" s="161" t="str">
        <f>IFERROR(VLOOKUP(C114,Hoja1!$A$2:$H$82,4,0),"")</f>
        <v/>
      </c>
      <c r="E114" s="161" t="str">
        <f>+IFERROR(VLOOKUP(C114,Hoja1!$A$1:$J$82,10,0),"")</f>
        <v/>
      </c>
      <c r="F114" s="161" t="str">
        <f>+IFERROR(VLOOKUP(C114,Hoja1!$A$1:$I$82,3,0),"")</f>
        <v/>
      </c>
      <c r="G114" s="160" t="str">
        <f>+IFERROR(VLOOKUP(C114,Hoja1!$A$1:$K$82,11,0),"")</f>
        <v/>
      </c>
      <c r="H114" s="162" t="str">
        <f>+IFERROR(VLOOKUP(C114,Hoja1!$A$1:$L$82,12,0),"")</f>
        <v/>
      </c>
      <c r="I114" s="163"/>
      <c r="J114" s="63">
        <v>100</v>
      </c>
      <c r="K114" s="62"/>
      <c r="M114" s="60"/>
      <c r="N114" s="40"/>
      <c r="O114" s="40"/>
      <c r="P114" s="40"/>
      <c r="Q114" s="40"/>
      <c r="R114" s="40"/>
      <c r="S114" s="40"/>
    </row>
    <row r="115" spans="2:19" s="36" customFormat="1" ht="99.75" customHeight="1" x14ac:dyDescent="0.2">
      <c r="B115" s="115">
        <f t="shared" si="2"/>
        <v>101</v>
      </c>
      <c r="C115" s="160" t="str">
        <f>+IFERROR(INDEX(Hoja1!$A$2:$A$82,MATCH(J115,Hoja1!$H$2:$H$82,0)),"")</f>
        <v/>
      </c>
      <c r="D115" s="161" t="str">
        <f>IFERROR(VLOOKUP(C115,Hoja1!$A$2:$H$82,4,0),"")</f>
        <v/>
      </c>
      <c r="E115" s="161" t="str">
        <f>+IFERROR(VLOOKUP(C115,Hoja1!$A$1:$J$82,10,0),"")</f>
        <v/>
      </c>
      <c r="F115" s="161" t="str">
        <f>+IFERROR(VLOOKUP(C115,Hoja1!$A$1:$I$82,3,0),"")</f>
        <v/>
      </c>
      <c r="G115" s="160" t="str">
        <f>+IFERROR(VLOOKUP(C115,Hoja1!$A$1:$K$82,11,0),"")</f>
        <v/>
      </c>
      <c r="H115" s="162" t="str">
        <f>+IFERROR(VLOOKUP(C115,Hoja1!$A$1:$L$82,12,0),"")</f>
        <v/>
      </c>
      <c r="I115" s="163"/>
      <c r="J115" s="63">
        <v>101</v>
      </c>
      <c r="K115" s="62"/>
      <c r="M115" s="60"/>
      <c r="N115" s="40"/>
      <c r="O115" s="40"/>
      <c r="P115" s="40"/>
      <c r="Q115" s="40"/>
      <c r="R115" s="40"/>
      <c r="S115" s="40"/>
    </row>
    <row r="116" spans="2:19" s="36" customFormat="1" ht="99.75" customHeight="1" x14ac:dyDescent="0.2">
      <c r="B116" s="114">
        <f t="shared" si="2"/>
        <v>102</v>
      </c>
      <c r="C116" s="160" t="str">
        <f>+IFERROR(INDEX(Hoja1!$A$2:$A$82,MATCH(J116,Hoja1!$H$2:$H$82,0)),"")</f>
        <v/>
      </c>
      <c r="D116" s="161" t="str">
        <f>IFERROR(VLOOKUP(C116,Hoja1!$A$2:$H$82,4,0),"")</f>
        <v/>
      </c>
      <c r="E116" s="161" t="str">
        <f>+IFERROR(VLOOKUP(C116,Hoja1!$A$1:$J$82,10,0),"")</f>
        <v/>
      </c>
      <c r="F116" s="161" t="str">
        <f>+IFERROR(VLOOKUP(C116,Hoja1!$A$1:$I$82,3,0),"")</f>
        <v/>
      </c>
      <c r="G116" s="160" t="str">
        <f>+IFERROR(VLOOKUP(C116,Hoja1!$A$1:$K$82,11,0),"")</f>
        <v/>
      </c>
      <c r="H116" s="162" t="str">
        <f>+IFERROR(VLOOKUP(C116,Hoja1!$A$1:$L$82,12,0),"")</f>
        <v/>
      </c>
      <c r="I116" s="163"/>
      <c r="J116" s="63">
        <v>102</v>
      </c>
      <c r="K116" s="62"/>
      <c r="M116" s="60"/>
      <c r="N116" s="40"/>
      <c r="O116" s="40"/>
      <c r="P116" s="40"/>
      <c r="Q116" s="40"/>
      <c r="R116" s="40"/>
      <c r="S116" s="40"/>
    </row>
    <row r="117" spans="2:19" s="36" customFormat="1" ht="99.75" customHeight="1" x14ac:dyDescent="0.2">
      <c r="B117" s="114">
        <f t="shared" si="2"/>
        <v>103</v>
      </c>
      <c r="C117" s="160" t="str">
        <f>+IFERROR(INDEX(Hoja1!$A$2:$A$82,MATCH(J117,Hoja1!$H$2:$H$82,0)),"")</f>
        <v/>
      </c>
      <c r="D117" s="161" t="str">
        <f>IFERROR(VLOOKUP(C117,Hoja1!$A$2:$H$82,4,0),"")</f>
        <v/>
      </c>
      <c r="E117" s="161" t="str">
        <f>+IFERROR(VLOOKUP(C117,Hoja1!$A$1:$J$82,10,0),"")</f>
        <v/>
      </c>
      <c r="F117" s="161" t="str">
        <f>+IFERROR(VLOOKUP(C117,Hoja1!$A$1:$I$82,3,0),"")</f>
        <v/>
      </c>
      <c r="G117" s="160" t="str">
        <f>+IFERROR(VLOOKUP(C117,Hoja1!$A$1:$K$82,11,0),"")</f>
        <v/>
      </c>
      <c r="H117" s="162" t="str">
        <f>+IFERROR(VLOOKUP(C117,Hoja1!$A$1:$L$82,12,0),"")</f>
        <v/>
      </c>
      <c r="I117" s="163"/>
      <c r="J117" s="63">
        <v>103</v>
      </c>
      <c r="K117" s="62"/>
      <c r="M117" s="60"/>
      <c r="N117" s="40"/>
      <c r="O117" s="40"/>
      <c r="P117" s="40"/>
      <c r="Q117" s="40"/>
      <c r="R117" s="40"/>
      <c r="S117" s="40"/>
    </row>
    <row r="118" spans="2:19" s="36" customFormat="1" ht="99.75" customHeight="1" x14ac:dyDescent="0.2">
      <c r="B118" s="114">
        <f t="shared" si="2"/>
        <v>104</v>
      </c>
      <c r="C118" s="160" t="str">
        <f>+IFERROR(INDEX(Hoja1!$A$2:$A$82,MATCH(J118,Hoja1!$H$2:$H$82,0)),"")</f>
        <v/>
      </c>
      <c r="D118" s="161" t="str">
        <f>IFERROR(VLOOKUP(C118,Hoja1!$A$2:$H$82,4,0),"")</f>
        <v/>
      </c>
      <c r="E118" s="161" t="str">
        <f>+IFERROR(VLOOKUP(C118,Hoja1!$A$1:$J$82,10,0),"")</f>
        <v/>
      </c>
      <c r="F118" s="161" t="str">
        <f>+IFERROR(VLOOKUP(C118,Hoja1!$A$1:$I$82,3,0),"")</f>
        <v/>
      </c>
      <c r="G118" s="160" t="str">
        <f>+IFERROR(VLOOKUP(C118,Hoja1!$A$1:$K$82,11,0),"")</f>
        <v/>
      </c>
      <c r="H118" s="162" t="str">
        <f>+IFERROR(VLOOKUP(C118,Hoja1!$A$1:$L$82,12,0),"")</f>
        <v/>
      </c>
      <c r="I118" s="163"/>
      <c r="J118" s="63">
        <v>104</v>
      </c>
      <c r="K118" s="62"/>
      <c r="M118" s="60"/>
      <c r="N118" s="40"/>
      <c r="O118" s="40"/>
      <c r="P118" s="40"/>
      <c r="Q118" s="40"/>
      <c r="R118" s="40"/>
      <c r="S118" s="40"/>
    </row>
    <row r="119" spans="2:19" s="36" customFormat="1" ht="99.75" customHeight="1" x14ac:dyDescent="0.2">
      <c r="B119" s="114">
        <f t="shared" si="2"/>
        <v>105</v>
      </c>
      <c r="C119" s="160" t="str">
        <f>+IFERROR(INDEX(Hoja1!$A$2:$A$82,MATCH(J119,Hoja1!$H$2:$H$82,0)),"")</f>
        <v/>
      </c>
      <c r="D119" s="161" t="str">
        <f>IFERROR(VLOOKUP(C119,Hoja1!$A$2:$H$82,4,0),"")</f>
        <v/>
      </c>
      <c r="E119" s="161" t="str">
        <f>+IFERROR(VLOOKUP(C119,Hoja1!$A$1:$J$82,10,0),"")</f>
        <v/>
      </c>
      <c r="F119" s="161" t="str">
        <f>+IFERROR(VLOOKUP(C119,Hoja1!$A$1:$I$82,3,0),"")</f>
        <v/>
      </c>
      <c r="G119" s="160" t="str">
        <f>+IFERROR(VLOOKUP(C119,Hoja1!$A$1:$K$82,11,0),"")</f>
        <v/>
      </c>
      <c r="H119" s="162" t="str">
        <f>+IFERROR(VLOOKUP(C119,Hoja1!$A$1:$L$82,12,0),"")</f>
        <v/>
      </c>
      <c r="I119" s="163"/>
      <c r="J119" s="63">
        <v>105</v>
      </c>
      <c r="K119" s="62"/>
      <c r="M119" s="60"/>
      <c r="N119" s="40"/>
      <c r="O119" s="40"/>
      <c r="P119" s="40"/>
      <c r="Q119" s="40"/>
      <c r="R119" s="40"/>
      <c r="S119" s="40"/>
    </row>
    <row r="120" spans="2:19" s="36" customFormat="1" ht="99.75" customHeight="1" x14ac:dyDescent="0.2">
      <c r="B120" s="115">
        <f t="shared" si="2"/>
        <v>106</v>
      </c>
      <c r="C120" s="160" t="str">
        <f>+IFERROR(INDEX(Hoja1!$A$2:$A$82,MATCH(J120,Hoja1!$H$2:$H$82,0)),"")</f>
        <v/>
      </c>
      <c r="D120" s="161" t="str">
        <f>IFERROR(VLOOKUP(C120,Hoja1!$A$2:$H$82,4,0),"")</f>
        <v/>
      </c>
      <c r="E120" s="161" t="str">
        <f>+IFERROR(VLOOKUP(C120,Hoja1!$A$1:$J$82,10,0),"")</f>
        <v/>
      </c>
      <c r="F120" s="161" t="str">
        <f>+IFERROR(VLOOKUP(C120,Hoja1!$A$1:$I$82,3,0),"")</f>
        <v/>
      </c>
      <c r="G120" s="160" t="str">
        <f>+IFERROR(VLOOKUP(C120,Hoja1!$A$1:$K$82,11,0),"")</f>
        <v/>
      </c>
      <c r="H120" s="162" t="str">
        <f>+IFERROR(VLOOKUP(C120,Hoja1!$A$1:$L$82,12,0),"")</f>
        <v/>
      </c>
      <c r="I120" s="163"/>
      <c r="J120" s="63">
        <v>106</v>
      </c>
      <c r="K120" s="62"/>
      <c r="M120" s="60"/>
      <c r="N120" s="40"/>
      <c r="O120" s="40"/>
      <c r="P120" s="40"/>
      <c r="Q120" s="40"/>
      <c r="R120" s="40"/>
      <c r="S120" s="40"/>
    </row>
    <row r="121" spans="2:19" s="36" customFormat="1" ht="99.75" customHeight="1" x14ac:dyDescent="0.2">
      <c r="B121" s="114">
        <f t="shared" si="2"/>
        <v>107</v>
      </c>
      <c r="C121" s="160" t="str">
        <f>+IFERROR(INDEX(Hoja1!$A$2:$A$82,MATCH(J121,Hoja1!$H$2:$H$82,0)),"")</f>
        <v/>
      </c>
      <c r="D121" s="161" t="str">
        <f>IFERROR(VLOOKUP(C121,Hoja1!$A$2:$H$82,4,0),"")</f>
        <v/>
      </c>
      <c r="E121" s="161" t="str">
        <f>+IFERROR(VLOOKUP(C121,Hoja1!$A$1:$J$82,10,0),"")</f>
        <v/>
      </c>
      <c r="F121" s="161" t="str">
        <f>+IFERROR(VLOOKUP(C121,Hoja1!$A$1:$I$82,3,0),"")</f>
        <v/>
      </c>
      <c r="G121" s="160" t="str">
        <f>+IFERROR(VLOOKUP(C121,Hoja1!$A$1:$K$82,11,0),"")</f>
        <v/>
      </c>
      <c r="H121" s="162" t="str">
        <f>+IFERROR(VLOOKUP(C121,Hoja1!$A$1:$L$82,12,0),"")</f>
        <v/>
      </c>
      <c r="I121" s="163"/>
      <c r="J121" s="63">
        <v>107</v>
      </c>
      <c r="K121" s="62"/>
      <c r="M121" s="60"/>
      <c r="N121" s="40"/>
      <c r="O121" s="40"/>
      <c r="P121" s="40"/>
      <c r="Q121" s="40"/>
      <c r="R121" s="40"/>
      <c r="S121" s="40"/>
    </row>
    <row r="122" spans="2:19" s="36" customFormat="1" ht="99.75" customHeight="1" x14ac:dyDescent="0.2">
      <c r="B122" s="114">
        <f t="shared" si="2"/>
        <v>108</v>
      </c>
      <c r="C122" s="160" t="str">
        <f>+IFERROR(INDEX(Hoja1!$A$2:$A$82,MATCH(J122,Hoja1!$H$2:$H$82,0)),"")</f>
        <v/>
      </c>
      <c r="D122" s="161" t="str">
        <f>IFERROR(VLOOKUP(C122,Hoja1!$A$2:$H$82,4,0),"")</f>
        <v/>
      </c>
      <c r="E122" s="161" t="str">
        <f>+IFERROR(VLOOKUP(C122,Hoja1!$A$1:$J$82,10,0),"")</f>
        <v/>
      </c>
      <c r="F122" s="161" t="str">
        <f>+IFERROR(VLOOKUP(C122,Hoja1!$A$1:$I$82,3,0),"")</f>
        <v/>
      </c>
      <c r="G122" s="160" t="str">
        <f>+IFERROR(VLOOKUP(C122,Hoja1!$A$1:$K$82,11,0),"")</f>
        <v/>
      </c>
      <c r="H122" s="162" t="str">
        <f>+IFERROR(VLOOKUP(C122,Hoja1!$A$1:$L$82,12,0),"")</f>
        <v/>
      </c>
      <c r="I122" s="163"/>
      <c r="J122" s="63">
        <v>108</v>
      </c>
      <c r="K122" s="62"/>
      <c r="M122" s="60"/>
      <c r="N122" s="40"/>
      <c r="O122" s="40"/>
      <c r="P122" s="40"/>
      <c r="Q122" s="40"/>
      <c r="R122" s="40"/>
      <c r="S122" s="40"/>
    </row>
    <row r="123" spans="2:19" s="36" customFormat="1" ht="99.75" customHeight="1" x14ac:dyDescent="0.2">
      <c r="B123" s="114">
        <f t="shared" si="2"/>
        <v>109</v>
      </c>
      <c r="C123" s="160" t="str">
        <f>+IFERROR(INDEX(Hoja1!$A$2:$A$82,MATCH(J123,Hoja1!$H$2:$H$82,0)),"")</f>
        <v/>
      </c>
      <c r="D123" s="161" t="str">
        <f>IFERROR(VLOOKUP(C123,Hoja1!$A$2:$H$82,4,0),"")</f>
        <v/>
      </c>
      <c r="E123" s="161" t="str">
        <f>+IFERROR(VLOOKUP(C123,Hoja1!$A$1:$J$82,10,0),"")</f>
        <v/>
      </c>
      <c r="F123" s="161" t="str">
        <f>+IFERROR(VLOOKUP(C123,Hoja1!$A$1:$I$82,3,0),"")</f>
        <v/>
      </c>
      <c r="G123" s="160" t="str">
        <f>+IFERROR(VLOOKUP(C123,Hoja1!$A$1:$K$82,11,0),"")</f>
        <v/>
      </c>
      <c r="H123" s="162" t="str">
        <f>+IFERROR(VLOOKUP(C123,Hoja1!$A$1:$L$82,12,0),"")</f>
        <v/>
      </c>
      <c r="I123" s="163"/>
      <c r="J123" s="63">
        <v>109</v>
      </c>
      <c r="K123" s="62"/>
      <c r="M123" s="60"/>
      <c r="N123" s="40"/>
      <c r="O123" s="40"/>
      <c r="P123" s="40"/>
      <c r="Q123" s="40"/>
      <c r="R123" s="40"/>
      <c r="S123" s="40"/>
    </row>
    <row r="124" spans="2:19" s="36" customFormat="1" ht="99.75" customHeight="1" x14ac:dyDescent="0.2">
      <c r="B124" s="114">
        <f t="shared" si="2"/>
        <v>110</v>
      </c>
      <c r="C124" s="160" t="str">
        <f>+IFERROR(INDEX(Hoja1!$A$2:$A$82,MATCH(J124,Hoja1!$H$2:$H$82,0)),"")</f>
        <v/>
      </c>
      <c r="D124" s="161" t="str">
        <f>IFERROR(VLOOKUP(C124,Hoja1!$A$2:$H$82,4,0),"")</f>
        <v/>
      </c>
      <c r="E124" s="161" t="str">
        <f>+IFERROR(VLOOKUP(C124,Hoja1!$A$1:$J$82,10,0),"")</f>
        <v/>
      </c>
      <c r="F124" s="161" t="str">
        <f>+IFERROR(VLOOKUP(C124,Hoja1!$A$1:$I$82,3,0),"")</f>
        <v/>
      </c>
      <c r="G124" s="160" t="str">
        <f>+IFERROR(VLOOKUP(C124,Hoja1!$A$1:$K$82,11,0),"")</f>
        <v/>
      </c>
      <c r="H124" s="162" t="str">
        <f>+IFERROR(VLOOKUP(C124,Hoja1!$A$1:$L$82,12,0),"")</f>
        <v/>
      </c>
      <c r="I124" s="163"/>
      <c r="J124" s="63">
        <v>110</v>
      </c>
      <c r="K124" s="62"/>
      <c r="M124" s="60"/>
      <c r="N124" s="40"/>
      <c r="O124" s="40"/>
      <c r="P124" s="40"/>
      <c r="Q124" s="40"/>
      <c r="R124" s="40"/>
      <c r="S124" s="40"/>
    </row>
    <row r="125" spans="2:19" s="36" customFormat="1" ht="99.75" customHeight="1" x14ac:dyDescent="0.2">
      <c r="B125" s="115">
        <f t="shared" si="2"/>
        <v>111</v>
      </c>
      <c r="C125" s="160" t="str">
        <f>+IFERROR(INDEX(Hoja1!$A$2:$A$82,MATCH(J125,Hoja1!$H$2:$H$82,0)),"")</f>
        <v/>
      </c>
      <c r="D125" s="161" t="str">
        <f>IFERROR(VLOOKUP(C125,Hoja1!$A$2:$H$82,4,0),"")</f>
        <v/>
      </c>
      <c r="E125" s="161" t="str">
        <f>+IFERROR(VLOOKUP(C125,Hoja1!$A$1:$J$82,10,0),"")</f>
        <v/>
      </c>
      <c r="F125" s="161" t="str">
        <f>+IFERROR(VLOOKUP(C125,Hoja1!$A$1:$I$82,3,0),"")</f>
        <v/>
      </c>
      <c r="G125" s="160" t="str">
        <f>+IFERROR(VLOOKUP(C125,Hoja1!$A$1:$K$82,11,0),"")</f>
        <v/>
      </c>
      <c r="H125" s="162" t="str">
        <f>+IFERROR(VLOOKUP(C125,Hoja1!$A$1:$L$82,12,0),"")</f>
        <v/>
      </c>
      <c r="I125" s="163"/>
      <c r="J125" s="63">
        <v>111</v>
      </c>
      <c r="K125" s="62"/>
      <c r="M125" s="60"/>
      <c r="N125" s="40"/>
      <c r="O125" s="40"/>
      <c r="P125" s="40"/>
      <c r="Q125" s="40"/>
      <c r="R125" s="40"/>
      <c r="S125" s="40"/>
    </row>
    <row r="126" spans="2:19" s="36" customFormat="1" ht="99.75" customHeight="1" x14ac:dyDescent="0.2">
      <c r="B126" s="114">
        <f t="shared" si="2"/>
        <v>112</v>
      </c>
      <c r="C126" s="160" t="str">
        <f>+IFERROR(INDEX(Hoja1!$A$2:$A$82,MATCH(J126,Hoja1!$H$2:$H$82,0)),"")</f>
        <v/>
      </c>
      <c r="D126" s="161" t="str">
        <f>IFERROR(VLOOKUP(C126,Hoja1!$A$2:$H$82,4,0),"")</f>
        <v/>
      </c>
      <c r="E126" s="161" t="str">
        <f>+IFERROR(VLOOKUP(C126,Hoja1!$A$1:$J$82,10,0),"")</f>
        <v/>
      </c>
      <c r="F126" s="161" t="str">
        <f>+IFERROR(VLOOKUP(C126,Hoja1!$A$1:$I$82,3,0),"")</f>
        <v/>
      </c>
      <c r="G126" s="160" t="str">
        <f>+IFERROR(VLOOKUP(C126,Hoja1!$A$1:$K$82,11,0),"")</f>
        <v/>
      </c>
      <c r="H126" s="162" t="str">
        <f>+IFERROR(VLOOKUP(C126,Hoja1!$A$1:$L$82,12,0),"")</f>
        <v/>
      </c>
      <c r="I126" s="163"/>
      <c r="J126" s="63">
        <v>112</v>
      </c>
      <c r="K126" s="62"/>
      <c r="M126" s="60"/>
      <c r="N126" s="40"/>
      <c r="O126" s="40"/>
      <c r="P126" s="40"/>
      <c r="Q126" s="40"/>
      <c r="R126" s="40"/>
      <c r="S126" s="40"/>
    </row>
    <row r="127" spans="2:19" s="36" customFormat="1" ht="99.75" customHeight="1" x14ac:dyDescent="0.2">
      <c r="B127" s="114">
        <f t="shared" si="2"/>
        <v>113</v>
      </c>
      <c r="C127" s="160" t="str">
        <f>+IFERROR(INDEX(Hoja1!$A$2:$A$82,MATCH(J127,Hoja1!$H$2:$H$82,0)),"")</f>
        <v/>
      </c>
      <c r="D127" s="161" t="str">
        <f>IFERROR(VLOOKUP(C127,Hoja1!$A$2:$H$82,4,0),"")</f>
        <v/>
      </c>
      <c r="E127" s="161" t="str">
        <f>+IFERROR(VLOOKUP(C127,Hoja1!$A$1:$J$82,10,0),"")</f>
        <v/>
      </c>
      <c r="F127" s="161" t="str">
        <f>+IFERROR(VLOOKUP(C127,Hoja1!$A$1:$I$82,3,0),"")</f>
        <v/>
      </c>
      <c r="G127" s="160" t="str">
        <f>+IFERROR(VLOOKUP(C127,Hoja1!$A$1:$K$82,11,0),"")</f>
        <v/>
      </c>
      <c r="H127" s="162" t="str">
        <f>+IFERROR(VLOOKUP(C127,Hoja1!$A$1:$L$82,12,0),"")</f>
        <v/>
      </c>
      <c r="I127" s="163"/>
      <c r="J127" s="63">
        <v>113</v>
      </c>
      <c r="K127" s="62"/>
      <c r="M127" s="60"/>
      <c r="N127" s="40"/>
      <c r="O127" s="40"/>
      <c r="P127" s="40"/>
      <c r="Q127" s="40"/>
      <c r="R127" s="40"/>
      <c r="S127" s="40"/>
    </row>
    <row r="128" spans="2:19" s="36" customFormat="1" ht="99.75" customHeight="1" x14ac:dyDescent="0.2">
      <c r="B128" s="114">
        <f t="shared" si="2"/>
        <v>114</v>
      </c>
      <c r="C128" s="160" t="str">
        <f>+IFERROR(INDEX(Hoja1!$A$2:$A$82,MATCH(J128,Hoja1!$H$2:$H$82,0)),"")</f>
        <v/>
      </c>
      <c r="D128" s="161" t="str">
        <f>IFERROR(VLOOKUP(C128,Hoja1!$A$2:$H$82,4,0),"")</f>
        <v/>
      </c>
      <c r="E128" s="161" t="str">
        <f>+IFERROR(VLOOKUP(C128,Hoja1!$A$1:$J$82,10,0),"")</f>
        <v/>
      </c>
      <c r="F128" s="161" t="str">
        <f>+IFERROR(VLOOKUP(C128,Hoja1!$A$1:$I$82,3,0),"")</f>
        <v/>
      </c>
      <c r="G128" s="160" t="str">
        <f>+IFERROR(VLOOKUP(C128,Hoja1!$A$1:$K$82,11,0),"")</f>
        <v/>
      </c>
      <c r="H128" s="162" t="str">
        <f>+IFERROR(VLOOKUP(C128,Hoja1!$A$1:$L$82,12,0),"")</f>
        <v/>
      </c>
      <c r="I128" s="163"/>
      <c r="J128" s="63">
        <v>114</v>
      </c>
      <c r="K128" s="62"/>
      <c r="M128" s="60"/>
      <c r="N128" s="40"/>
      <c r="O128" s="40"/>
      <c r="P128" s="40"/>
      <c r="Q128" s="40"/>
      <c r="R128" s="40"/>
      <c r="S128" s="40"/>
    </row>
    <row r="129" spans="2:19" s="36" customFormat="1" ht="99.75" customHeight="1" x14ac:dyDescent="0.2">
      <c r="B129" s="114">
        <f t="shared" si="2"/>
        <v>115</v>
      </c>
      <c r="C129" s="160" t="str">
        <f>+IFERROR(INDEX(Hoja1!$A$2:$A$82,MATCH(J129,Hoja1!$H$2:$H$82,0)),"")</f>
        <v/>
      </c>
      <c r="D129" s="161" t="str">
        <f>IFERROR(VLOOKUP(C129,Hoja1!$A$2:$H$82,4,0),"")</f>
        <v/>
      </c>
      <c r="E129" s="161" t="str">
        <f>+IFERROR(VLOOKUP(C129,Hoja1!$A$1:$J$82,10,0),"")</f>
        <v/>
      </c>
      <c r="F129" s="161" t="str">
        <f>+IFERROR(VLOOKUP(C129,Hoja1!$A$1:$I$82,3,0),"")</f>
        <v/>
      </c>
      <c r="G129" s="160" t="str">
        <f>+IFERROR(VLOOKUP(C129,Hoja1!$A$1:$K$82,11,0),"")</f>
        <v/>
      </c>
      <c r="H129" s="162" t="str">
        <f>+IFERROR(VLOOKUP(C129,Hoja1!$A$1:$L$82,12,0),"")</f>
        <v/>
      </c>
      <c r="I129" s="163"/>
      <c r="J129" s="63">
        <v>115</v>
      </c>
      <c r="K129" s="62"/>
      <c r="M129" s="60"/>
      <c r="N129" s="40"/>
      <c r="O129" s="40"/>
      <c r="P129" s="40"/>
      <c r="Q129" s="40"/>
      <c r="R129" s="40"/>
      <c r="S129" s="40"/>
    </row>
    <row r="130" spans="2:19" s="36" customFormat="1" ht="99.75" customHeight="1" x14ac:dyDescent="0.2">
      <c r="B130" s="115">
        <f t="shared" si="2"/>
        <v>116</v>
      </c>
      <c r="C130" s="160" t="str">
        <f>+IFERROR(INDEX(Hoja1!$A$2:$A$82,MATCH(J130,Hoja1!$H$2:$H$82,0)),"")</f>
        <v/>
      </c>
      <c r="D130" s="161" t="str">
        <f>IFERROR(VLOOKUP(C130,Hoja1!$A$2:$H$82,4,0),"")</f>
        <v/>
      </c>
      <c r="E130" s="161" t="str">
        <f>+IFERROR(VLOOKUP(C130,Hoja1!$A$1:$J$82,10,0),"")</f>
        <v/>
      </c>
      <c r="F130" s="161" t="str">
        <f>+IFERROR(VLOOKUP(C130,Hoja1!$A$1:$I$82,3,0),"")</f>
        <v/>
      </c>
      <c r="G130" s="160" t="str">
        <f>+IFERROR(VLOOKUP(C130,Hoja1!$A$1:$K$82,11,0),"")</f>
        <v/>
      </c>
      <c r="H130" s="162" t="str">
        <f>+IFERROR(VLOOKUP(C130,Hoja1!$A$1:$L$82,12,0),"")</f>
        <v/>
      </c>
      <c r="I130" s="163"/>
      <c r="J130" s="63">
        <v>116</v>
      </c>
      <c r="K130" s="62"/>
      <c r="M130" s="60"/>
      <c r="N130" s="40"/>
      <c r="O130" s="40"/>
      <c r="P130" s="40"/>
      <c r="Q130" s="40"/>
      <c r="R130" s="40"/>
      <c r="S130" s="40"/>
    </row>
    <row r="131" spans="2:19" s="36" customFormat="1" ht="99.75" customHeight="1" x14ac:dyDescent="0.2">
      <c r="B131" s="114">
        <f t="shared" si="2"/>
        <v>117</v>
      </c>
      <c r="C131" s="160" t="str">
        <f>+IFERROR(INDEX(Hoja1!$A$2:$A$82,MATCH(J131,Hoja1!$H$2:$H$82,0)),"")</f>
        <v/>
      </c>
      <c r="D131" s="161" t="str">
        <f>IFERROR(VLOOKUP(C131,Hoja1!$A$2:$H$82,4,0),"")</f>
        <v/>
      </c>
      <c r="E131" s="161" t="str">
        <f>+IFERROR(VLOOKUP(C131,Hoja1!$A$1:$J$82,10,0),"")</f>
        <v/>
      </c>
      <c r="F131" s="161" t="str">
        <f>+IFERROR(VLOOKUP(C131,Hoja1!$A$1:$I$82,3,0),"")</f>
        <v/>
      </c>
      <c r="G131" s="160" t="str">
        <f>+IFERROR(VLOOKUP(C131,Hoja1!$A$1:$K$82,11,0),"")</f>
        <v/>
      </c>
      <c r="H131" s="162" t="str">
        <f>+IFERROR(VLOOKUP(C131,Hoja1!$A$1:$L$82,12,0),"")</f>
        <v/>
      </c>
      <c r="I131" s="163"/>
      <c r="J131" s="63">
        <v>117</v>
      </c>
      <c r="K131" s="62"/>
      <c r="M131" s="60"/>
      <c r="N131" s="40"/>
      <c r="O131" s="40"/>
      <c r="P131" s="40"/>
      <c r="Q131" s="40"/>
      <c r="R131" s="40"/>
      <c r="S131" s="40"/>
    </row>
    <row r="132" spans="2:19" s="36" customFormat="1" ht="99.75" customHeight="1" x14ac:dyDescent="0.2">
      <c r="B132" s="114">
        <f t="shared" si="2"/>
        <v>118</v>
      </c>
      <c r="C132" s="160" t="str">
        <f>+IFERROR(INDEX(Hoja1!$A$2:$A$82,MATCH(J132,Hoja1!$H$2:$H$82,0)),"")</f>
        <v/>
      </c>
      <c r="D132" s="161" t="str">
        <f>IFERROR(VLOOKUP(C132,Hoja1!$A$2:$H$82,4,0),"")</f>
        <v/>
      </c>
      <c r="E132" s="161" t="str">
        <f>+IFERROR(VLOOKUP(C132,Hoja1!$A$1:$J$82,10,0),"")</f>
        <v/>
      </c>
      <c r="F132" s="161" t="str">
        <f>+IFERROR(VLOOKUP(C132,Hoja1!$A$1:$I$82,3,0),"")</f>
        <v/>
      </c>
      <c r="G132" s="160" t="str">
        <f>+IFERROR(VLOOKUP(C132,Hoja1!$A$1:$K$82,11,0),"")</f>
        <v/>
      </c>
      <c r="H132" s="162" t="str">
        <f>+IFERROR(VLOOKUP(C132,Hoja1!$A$1:$L$82,12,0),"")</f>
        <v/>
      </c>
      <c r="I132" s="163"/>
      <c r="J132" s="63">
        <v>118</v>
      </c>
      <c r="K132" s="62"/>
      <c r="M132" s="60"/>
      <c r="N132" s="40"/>
      <c r="O132" s="40"/>
      <c r="P132" s="40"/>
      <c r="Q132" s="40"/>
      <c r="R132" s="40"/>
      <c r="S132" s="40"/>
    </row>
    <row r="133" spans="2:19" s="36" customFormat="1" ht="99.75" customHeight="1" x14ac:dyDescent="0.2">
      <c r="B133" s="114">
        <f t="shared" si="2"/>
        <v>119</v>
      </c>
      <c r="C133" s="160" t="str">
        <f>+IFERROR(INDEX(Hoja1!$A$2:$A$82,MATCH(J133,Hoja1!$H$2:$H$82,0)),"")</f>
        <v/>
      </c>
      <c r="D133" s="161" t="str">
        <f>IFERROR(VLOOKUP(C133,Hoja1!$A$2:$H$82,4,0),"")</f>
        <v/>
      </c>
      <c r="E133" s="161" t="str">
        <f>+IFERROR(VLOOKUP(C133,Hoja1!$A$1:$J$82,10,0),"")</f>
        <v/>
      </c>
      <c r="F133" s="161" t="str">
        <f>+IFERROR(VLOOKUP(C133,Hoja1!$A$1:$I$82,3,0),"")</f>
        <v/>
      </c>
      <c r="G133" s="160" t="str">
        <f>+IFERROR(VLOOKUP(C133,Hoja1!$A$1:$K$82,11,0),"")</f>
        <v/>
      </c>
      <c r="H133" s="162" t="str">
        <f>+IFERROR(VLOOKUP(C133,Hoja1!$A$1:$L$82,12,0),"")</f>
        <v/>
      </c>
      <c r="I133" s="163"/>
      <c r="J133" s="63">
        <v>119</v>
      </c>
      <c r="K133" s="62"/>
      <c r="M133" s="60"/>
      <c r="N133" s="40"/>
      <c r="O133" s="40"/>
      <c r="P133" s="40"/>
      <c r="Q133" s="40"/>
      <c r="R133" s="40"/>
      <c r="S133" s="40"/>
    </row>
    <row r="134" spans="2:19" s="36" customFormat="1" ht="99.75" customHeight="1" x14ac:dyDescent="0.2">
      <c r="B134" s="114">
        <f t="shared" si="2"/>
        <v>120</v>
      </c>
      <c r="C134" s="160" t="str">
        <f>+IFERROR(INDEX(Hoja1!$A$2:$A$82,MATCH(J134,Hoja1!$H$2:$H$82,0)),"")</f>
        <v/>
      </c>
      <c r="D134" s="161" t="str">
        <f>IFERROR(VLOOKUP(C134,Hoja1!$A$2:$H$82,4,0),"")</f>
        <v/>
      </c>
      <c r="E134" s="161" t="str">
        <f>+IFERROR(VLOOKUP(C134,Hoja1!$A$1:$J$82,10,0),"")</f>
        <v/>
      </c>
      <c r="F134" s="161" t="str">
        <f>+IFERROR(VLOOKUP(C134,Hoja1!$A$1:$I$82,3,0),"")</f>
        <v/>
      </c>
      <c r="G134" s="160" t="str">
        <f>+IFERROR(VLOOKUP(C134,Hoja1!$A$1:$K$82,11,0),"")</f>
        <v/>
      </c>
      <c r="H134" s="162" t="str">
        <f>+IFERROR(VLOOKUP(C134,Hoja1!$A$1:$L$82,12,0),"")</f>
        <v/>
      </c>
      <c r="I134" s="163"/>
      <c r="J134" s="63">
        <v>120</v>
      </c>
      <c r="K134" s="62"/>
      <c r="M134" s="60"/>
      <c r="N134" s="40"/>
      <c r="O134" s="40"/>
      <c r="P134" s="40"/>
      <c r="Q134" s="40"/>
      <c r="R134" s="40"/>
      <c r="S134" s="40"/>
    </row>
    <row r="135" spans="2:19" s="36" customFormat="1" ht="99.75" customHeight="1" x14ac:dyDescent="0.2">
      <c r="B135" s="115">
        <f t="shared" si="2"/>
        <v>121</v>
      </c>
      <c r="C135" s="160" t="str">
        <f>+IFERROR(INDEX(Hoja1!$A$2:$A$82,MATCH(J135,Hoja1!$H$2:$H$82,0)),"")</f>
        <v/>
      </c>
      <c r="D135" s="161" t="str">
        <f>IFERROR(VLOOKUP(C135,Hoja1!$A$2:$H$82,4,0),"")</f>
        <v/>
      </c>
      <c r="E135" s="161" t="str">
        <f>+IFERROR(VLOOKUP(C135,Hoja1!$A$1:$J$82,10,0),"")</f>
        <v/>
      </c>
      <c r="F135" s="161" t="str">
        <f>+IFERROR(VLOOKUP(C135,Hoja1!$A$1:$I$82,3,0),"")</f>
        <v/>
      </c>
      <c r="G135" s="160" t="str">
        <f>+IFERROR(VLOOKUP(C135,Hoja1!$A$1:$K$82,11,0),"")</f>
        <v/>
      </c>
      <c r="H135" s="162" t="str">
        <f>+IFERROR(VLOOKUP(C135,Hoja1!$A$1:$L$82,12,0),"")</f>
        <v/>
      </c>
      <c r="I135" s="163"/>
      <c r="J135" s="63">
        <v>121</v>
      </c>
      <c r="K135" s="62"/>
      <c r="M135" s="60"/>
      <c r="N135" s="40"/>
      <c r="O135" s="40"/>
      <c r="P135" s="40"/>
      <c r="Q135" s="40"/>
      <c r="R135" s="40"/>
      <c r="S135" s="40"/>
    </row>
    <row r="136" spans="2:19" s="36" customFormat="1" ht="99.75" customHeight="1" x14ac:dyDescent="0.2">
      <c r="B136" s="114">
        <f t="shared" si="2"/>
        <v>122</v>
      </c>
      <c r="C136" s="160" t="str">
        <f>+IFERROR(INDEX(Hoja1!$A$2:$A$82,MATCH(J136,Hoja1!$H$2:$H$82,0)),"")</f>
        <v/>
      </c>
      <c r="D136" s="161" t="str">
        <f>IFERROR(VLOOKUP(C136,Hoja1!$A$2:$H$82,4,0),"")</f>
        <v/>
      </c>
      <c r="E136" s="161" t="str">
        <f>+IFERROR(VLOOKUP(C136,Hoja1!$A$1:$J$82,10,0),"")</f>
        <v/>
      </c>
      <c r="F136" s="161" t="str">
        <f>+IFERROR(VLOOKUP(C136,Hoja1!$A$1:$I$82,3,0),"")</f>
        <v/>
      </c>
      <c r="G136" s="160" t="str">
        <f>+IFERROR(VLOOKUP(C136,Hoja1!$A$1:$K$82,11,0),"")</f>
        <v/>
      </c>
      <c r="H136" s="162" t="str">
        <f>+IFERROR(VLOOKUP(C136,Hoja1!$A$1:$L$82,12,0),"")</f>
        <v/>
      </c>
      <c r="I136" s="163"/>
      <c r="J136" s="63">
        <v>122</v>
      </c>
      <c r="K136" s="62"/>
      <c r="M136" s="60"/>
      <c r="N136" s="40"/>
      <c r="O136" s="40"/>
      <c r="P136" s="40"/>
      <c r="Q136" s="40"/>
      <c r="R136" s="40"/>
      <c r="S136" s="40"/>
    </row>
    <row r="137" spans="2:19" s="36" customFormat="1" ht="99.75" customHeight="1" x14ac:dyDescent="0.2">
      <c r="B137" s="114">
        <f t="shared" si="2"/>
        <v>123</v>
      </c>
      <c r="C137" s="160" t="str">
        <f>+IFERROR(INDEX(Hoja1!$A$2:$A$82,MATCH(J137,Hoja1!$H$2:$H$82,0)),"")</f>
        <v/>
      </c>
      <c r="D137" s="161" t="str">
        <f>IFERROR(VLOOKUP(C137,Hoja1!$A$2:$H$82,4,0),"")</f>
        <v/>
      </c>
      <c r="E137" s="161" t="str">
        <f>+IFERROR(VLOOKUP(C137,Hoja1!$A$1:$J$82,10,0),"")</f>
        <v/>
      </c>
      <c r="F137" s="161" t="str">
        <f>+IFERROR(VLOOKUP(C137,Hoja1!$A$1:$I$82,3,0),"")</f>
        <v/>
      </c>
      <c r="G137" s="160" t="str">
        <f>+IFERROR(VLOOKUP(C137,Hoja1!$A$1:$K$82,11,0),"")</f>
        <v/>
      </c>
      <c r="H137" s="162" t="str">
        <f>+IFERROR(VLOOKUP(C137,Hoja1!$A$1:$L$82,12,0),"")</f>
        <v/>
      </c>
      <c r="I137" s="163"/>
      <c r="J137" s="63">
        <v>123</v>
      </c>
      <c r="K137" s="62"/>
      <c r="M137" s="60"/>
      <c r="N137" s="40"/>
      <c r="O137" s="40"/>
      <c r="P137" s="40"/>
      <c r="Q137" s="40"/>
      <c r="R137" s="40"/>
      <c r="S137" s="40"/>
    </row>
    <row r="138" spans="2:19" s="36" customFormat="1" ht="99.75" customHeight="1" x14ac:dyDescent="0.2">
      <c r="B138" s="114">
        <f t="shared" si="2"/>
        <v>124</v>
      </c>
      <c r="C138" s="160" t="str">
        <f>+IFERROR(INDEX(Hoja1!$A$2:$A$82,MATCH(J138,Hoja1!$H$2:$H$82,0)),"")</f>
        <v/>
      </c>
      <c r="D138" s="161" t="str">
        <f>IFERROR(VLOOKUP(C138,Hoja1!$A$2:$H$82,4,0),"")</f>
        <v/>
      </c>
      <c r="E138" s="161" t="str">
        <f>+IFERROR(VLOOKUP(C138,Hoja1!$A$1:$J$82,10,0),"")</f>
        <v/>
      </c>
      <c r="F138" s="161" t="str">
        <f>+IFERROR(VLOOKUP(C138,Hoja1!$A$1:$I$82,3,0),"")</f>
        <v/>
      </c>
      <c r="G138" s="160" t="str">
        <f>+IFERROR(VLOOKUP(C138,Hoja1!$A$1:$K$82,11,0),"")</f>
        <v/>
      </c>
      <c r="H138" s="162" t="str">
        <f>+IFERROR(VLOOKUP(C138,Hoja1!$A$1:$L$82,12,0),"")</f>
        <v/>
      </c>
      <c r="I138" s="163"/>
      <c r="J138" s="63">
        <v>124</v>
      </c>
      <c r="K138" s="62"/>
      <c r="M138" s="60"/>
      <c r="N138" s="40"/>
      <c r="O138" s="40"/>
      <c r="P138" s="40"/>
      <c r="Q138" s="40"/>
      <c r="R138" s="40"/>
      <c r="S138" s="40"/>
    </row>
    <row r="139" spans="2:19" s="36" customFormat="1" ht="99.75" customHeight="1" x14ac:dyDescent="0.2">
      <c r="B139" s="114">
        <f t="shared" si="2"/>
        <v>125</v>
      </c>
      <c r="C139" s="160" t="str">
        <f>+IFERROR(INDEX(Hoja1!$A$2:$A$82,MATCH(J139,Hoja1!$H$2:$H$82,0)),"")</f>
        <v/>
      </c>
      <c r="D139" s="161" t="str">
        <f>IFERROR(VLOOKUP(C139,Hoja1!$A$2:$H$82,4,0),"")</f>
        <v/>
      </c>
      <c r="E139" s="161" t="str">
        <f>+IFERROR(VLOOKUP(C139,Hoja1!$A$1:$J$82,10,0),"")</f>
        <v/>
      </c>
      <c r="F139" s="161" t="str">
        <f>+IFERROR(VLOOKUP(C139,Hoja1!$A$1:$I$82,3,0),"")</f>
        <v/>
      </c>
      <c r="G139" s="160" t="str">
        <f>+IFERROR(VLOOKUP(C139,Hoja1!$A$1:$K$82,11,0),"")</f>
        <v/>
      </c>
      <c r="H139" s="162" t="str">
        <f>+IFERROR(VLOOKUP(C139,Hoja1!$A$1:$L$82,12,0),"")</f>
        <v/>
      </c>
      <c r="I139" s="163"/>
      <c r="J139" s="63">
        <v>125</v>
      </c>
      <c r="K139" s="62"/>
      <c r="M139" s="60"/>
      <c r="N139" s="40"/>
      <c r="O139" s="40"/>
      <c r="P139" s="40"/>
      <c r="Q139" s="40"/>
      <c r="R139" s="40"/>
      <c r="S139" s="40"/>
    </row>
    <row r="140" spans="2:19" s="36" customFormat="1" ht="99.75" customHeight="1" x14ac:dyDescent="0.2">
      <c r="B140" s="115">
        <f t="shared" si="2"/>
        <v>126</v>
      </c>
      <c r="C140" s="160" t="str">
        <f>+IFERROR(INDEX(Hoja1!$A$2:$A$82,MATCH(J140,Hoja1!$H$2:$H$82,0)),"")</f>
        <v/>
      </c>
      <c r="D140" s="161" t="str">
        <f>IFERROR(VLOOKUP(C140,Hoja1!$A$2:$H$82,4,0),"")</f>
        <v/>
      </c>
      <c r="E140" s="161" t="str">
        <f>+IFERROR(VLOOKUP(C140,Hoja1!$A$1:$J$82,10,0),"")</f>
        <v/>
      </c>
      <c r="F140" s="161" t="str">
        <f>+IFERROR(VLOOKUP(C140,Hoja1!$A$1:$I$82,3,0),"")</f>
        <v/>
      </c>
      <c r="G140" s="160" t="str">
        <f>+IFERROR(VLOOKUP(C140,Hoja1!$A$1:$K$82,11,0),"")</f>
        <v/>
      </c>
      <c r="H140" s="162" t="str">
        <f>+IFERROR(VLOOKUP(C140,Hoja1!$A$1:$L$82,12,0),"")</f>
        <v/>
      </c>
      <c r="I140" s="163"/>
      <c r="J140" s="63">
        <v>126</v>
      </c>
      <c r="K140" s="62"/>
      <c r="M140" s="60"/>
      <c r="N140" s="40"/>
      <c r="O140" s="40"/>
      <c r="P140" s="40"/>
      <c r="Q140" s="40"/>
      <c r="R140" s="40"/>
      <c r="S140" s="40"/>
    </row>
    <row r="141" spans="2:19" s="36" customFormat="1" ht="99.75" customHeight="1" x14ac:dyDescent="0.2">
      <c r="B141" s="114">
        <f t="shared" si="2"/>
        <v>127</v>
      </c>
      <c r="C141" s="160" t="str">
        <f>+IFERROR(INDEX(Hoja1!$A$2:$A$82,MATCH(J141,Hoja1!$H$2:$H$82,0)),"")</f>
        <v/>
      </c>
      <c r="D141" s="161" t="str">
        <f>IFERROR(VLOOKUP(C141,Hoja1!$A$2:$H$82,4,0),"")</f>
        <v/>
      </c>
      <c r="E141" s="161" t="str">
        <f>+IFERROR(VLOOKUP(C141,Hoja1!$A$1:$J$82,10,0),"")</f>
        <v/>
      </c>
      <c r="F141" s="161" t="str">
        <f>+IFERROR(VLOOKUP(C141,Hoja1!$A$1:$I$82,3,0),"")</f>
        <v/>
      </c>
      <c r="G141" s="160" t="str">
        <f>+IFERROR(VLOOKUP(C141,Hoja1!$A$1:$K$82,11,0),"")</f>
        <v/>
      </c>
      <c r="H141" s="162" t="str">
        <f>+IFERROR(VLOOKUP(C141,Hoja1!$A$1:$L$82,12,0),"")</f>
        <v/>
      </c>
      <c r="I141" s="163"/>
      <c r="J141" s="63">
        <v>127</v>
      </c>
      <c r="K141" s="62"/>
      <c r="M141" s="60"/>
      <c r="N141" s="40"/>
      <c r="O141" s="40"/>
      <c r="P141" s="40"/>
      <c r="Q141" s="40"/>
      <c r="R141" s="40"/>
      <c r="S141" s="40"/>
    </row>
    <row r="142" spans="2:19" s="36" customFormat="1" ht="99.75" customHeight="1" x14ac:dyDescent="0.2">
      <c r="B142" s="114">
        <f t="shared" si="2"/>
        <v>128</v>
      </c>
      <c r="C142" s="160" t="str">
        <f>+IFERROR(INDEX(Hoja1!$A$2:$A$82,MATCH(J142,Hoja1!$H$2:$H$82,0)),"")</f>
        <v/>
      </c>
      <c r="D142" s="161" t="str">
        <f>IFERROR(VLOOKUP(C142,Hoja1!$A$2:$H$82,4,0),"")</f>
        <v/>
      </c>
      <c r="E142" s="161" t="str">
        <f>+IFERROR(VLOOKUP(C142,Hoja1!$A$1:$J$82,10,0),"")</f>
        <v/>
      </c>
      <c r="F142" s="161" t="str">
        <f>+IFERROR(VLOOKUP(C142,Hoja1!$A$1:$I$82,3,0),"")</f>
        <v/>
      </c>
      <c r="G142" s="160" t="str">
        <f>+IFERROR(VLOOKUP(C142,Hoja1!$A$1:$K$82,11,0),"")</f>
        <v/>
      </c>
      <c r="H142" s="162" t="str">
        <f>+IFERROR(VLOOKUP(C142,Hoja1!$A$1:$L$82,12,0),"")</f>
        <v/>
      </c>
      <c r="I142" s="163"/>
      <c r="J142" s="63">
        <v>128</v>
      </c>
      <c r="K142" s="62"/>
      <c r="M142" s="60"/>
      <c r="N142" s="40"/>
      <c r="O142" s="40"/>
      <c r="P142" s="40"/>
      <c r="Q142" s="40"/>
      <c r="R142" s="40"/>
      <c r="S142" s="40"/>
    </row>
    <row r="143" spans="2:19" s="36" customFormat="1" ht="99.75" customHeight="1" x14ac:dyDescent="0.2">
      <c r="B143" s="114">
        <f t="shared" si="2"/>
        <v>129</v>
      </c>
      <c r="C143" s="160" t="str">
        <f>+IFERROR(INDEX(Hoja1!$A$2:$A$82,MATCH(J143,Hoja1!$H$2:$H$82,0)),"")</f>
        <v/>
      </c>
      <c r="D143" s="161" t="str">
        <f>IFERROR(VLOOKUP(C143,Hoja1!$A$2:$H$82,4,0),"")</f>
        <v/>
      </c>
      <c r="E143" s="161" t="str">
        <f>+IFERROR(VLOOKUP(C143,Hoja1!$A$1:$J$82,10,0),"")</f>
        <v/>
      </c>
      <c r="F143" s="161" t="str">
        <f>+IFERROR(VLOOKUP(C143,Hoja1!$A$1:$I$82,3,0),"")</f>
        <v/>
      </c>
      <c r="G143" s="160" t="str">
        <f>+IFERROR(VLOOKUP(C143,Hoja1!$A$1:$K$82,11,0),"")</f>
        <v/>
      </c>
      <c r="H143" s="162" t="str">
        <f>+IFERROR(VLOOKUP(C143,Hoja1!$A$1:$L$82,12,0),"")</f>
        <v/>
      </c>
      <c r="I143" s="163"/>
      <c r="J143" s="63">
        <v>129</v>
      </c>
      <c r="K143" s="62"/>
      <c r="M143" s="60"/>
      <c r="N143" s="40"/>
      <c r="O143" s="40"/>
      <c r="P143" s="40"/>
      <c r="Q143" s="40"/>
      <c r="R143" s="40"/>
      <c r="S143" s="40"/>
    </row>
    <row r="144" spans="2:19" s="36" customFormat="1" ht="99.75" customHeight="1" x14ac:dyDescent="0.2">
      <c r="B144" s="114">
        <f t="shared" ref="B144:B164" si="4">+IF(ISTEXT(D144),J144,"")</f>
        <v>130</v>
      </c>
      <c r="C144" s="160" t="str">
        <f>+IFERROR(INDEX(Hoja1!$A$2:$A$82,MATCH(J144,Hoja1!$H$2:$H$82,0)),"")</f>
        <v/>
      </c>
      <c r="D144" s="161" t="str">
        <f>IFERROR(VLOOKUP(C144,Hoja1!$A$2:$H$82,4,0),"")</f>
        <v/>
      </c>
      <c r="E144" s="161" t="str">
        <f>+IFERROR(VLOOKUP(C144,Hoja1!$A$1:$J$82,10,0),"")</f>
        <v/>
      </c>
      <c r="F144" s="161" t="str">
        <f>+IFERROR(VLOOKUP(C144,Hoja1!$A$1:$I$82,3,0),"")</f>
        <v/>
      </c>
      <c r="G144" s="160" t="str">
        <f>+IFERROR(VLOOKUP(C144,Hoja1!$A$1:$K$82,11,0),"")</f>
        <v/>
      </c>
      <c r="H144" s="162" t="str">
        <f>+IFERROR(VLOOKUP(C144,Hoja1!$A$1:$L$82,12,0),"")</f>
        <v/>
      </c>
      <c r="I144" s="163"/>
      <c r="J144" s="63">
        <v>130</v>
      </c>
      <c r="K144" s="62"/>
      <c r="M144" s="60"/>
      <c r="N144" s="40"/>
      <c r="O144" s="40"/>
      <c r="P144" s="40"/>
      <c r="Q144" s="40"/>
      <c r="R144" s="40"/>
      <c r="S144" s="40"/>
    </row>
    <row r="145" spans="2:19" s="36" customFormat="1" ht="99.75" customHeight="1" x14ac:dyDescent="0.2">
      <c r="B145" s="115">
        <f t="shared" si="4"/>
        <v>131</v>
      </c>
      <c r="C145" s="160" t="str">
        <f>+IFERROR(INDEX(Hoja1!$A$2:$A$82,MATCH(J145,Hoja1!$H$2:$H$82,0)),"")</f>
        <v/>
      </c>
      <c r="D145" s="161" t="str">
        <f>IFERROR(VLOOKUP(C145,Hoja1!$A$2:$H$82,4,0),"")</f>
        <v/>
      </c>
      <c r="E145" s="161" t="str">
        <f>+IFERROR(VLOOKUP(C145,Hoja1!$A$1:$J$82,10,0),"")</f>
        <v/>
      </c>
      <c r="F145" s="161" t="str">
        <f>+IFERROR(VLOOKUP(C145,Hoja1!$A$1:$I$82,3,0),"")</f>
        <v/>
      </c>
      <c r="G145" s="160" t="str">
        <f>+IFERROR(VLOOKUP(C145,Hoja1!$A$1:$K$82,11,0),"")</f>
        <v/>
      </c>
      <c r="H145" s="162" t="str">
        <f>+IFERROR(VLOOKUP(C145,Hoja1!$A$1:$L$82,12,0),"")</f>
        <v/>
      </c>
      <c r="I145" s="163"/>
      <c r="J145" s="63">
        <v>131</v>
      </c>
      <c r="K145" s="62"/>
      <c r="M145" s="60"/>
      <c r="N145" s="40"/>
      <c r="O145" s="40"/>
      <c r="P145" s="40"/>
      <c r="Q145" s="40"/>
      <c r="R145" s="40"/>
      <c r="S145" s="40"/>
    </row>
    <row r="146" spans="2:19" s="36" customFormat="1" ht="99.75" customHeight="1" x14ac:dyDescent="0.2">
      <c r="B146" s="114">
        <f t="shared" si="4"/>
        <v>132</v>
      </c>
      <c r="C146" s="160" t="str">
        <f>+IFERROR(INDEX(Hoja1!$A$2:$A$82,MATCH(J146,Hoja1!$H$2:$H$82,0)),"")</f>
        <v/>
      </c>
      <c r="D146" s="161" t="str">
        <f>IFERROR(VLOOKUP(C146,Hoja1!$A$2:$H$82,4,0),"")</f>
        <v/>
      </c>
      <c r="E146" s="161" t="str">
        <f>+IFERROR(VLOOKUP(C146,Hoja1!$A$1:$J$82,10,0),"")</f>
        <v/>
      </c>
      <c r="F146" s="161" t="str">
        <f>+IFERROR(VLOOKUP(C146,Hoja1!$A$1:$I$82,3,0),"")</f>
        <v/>
      </c>
      <c r="G146" s="160" t="str">
        <f>+IFERROR(VLOOKUP(C146,Hoja1!$A$1:$K$82,11,0),"")</f>
        <v/>
      </c>
      <c r="H146" s="162" t="str">
        <f>+IFERROR(VLOOKUP(C146,Hoja1!$A$1:$L$82,12,0),"")</f>
        <v/>
      </c>
      <c r="I146" s="163"/>
      <c r="J146" s="63">
        <v>132</v>
      </c>
      <c r="K146" s="62"/>
      <c r="M146" s="60"/>
      <c r="N146" s="40"/>
      <c r="O146" s="40"/>
      <c r="P146" s="40"/>
      <c r="Q146" s="40"/>
      <c r="R146" s="40"/>
      <c r="S146" s="40"/>
    </row>
    <row r="147" spans="2:19" s="36" customFormat="1" ht="99.75" customHeight="1" x14ac:dyDescent="0.2">
      <c r="B147" s="114">
        <f t="shared" si="4"/>
        <v>133</v>
      </c>
      <c r="C147" s="160" t="str">
        <f>+IFERROR(INDEX(Hoja1!$A$2:$A$82,MATCH(J147,Hoja1!$H$2:$H$82,0)),"")</f>
        <v/>
      </c>
      <c r="D147" s="161" t="str">
        <f>IFERROR(VLOOKUP(C147,Hoja1!$A$2:$H$82,4,0),"")</f>
        <v/>
      </c>
      <c r="E147" s="161" t="str">
        <f>+IFERROR(VLOOKUP(C147,Hoja1!$A$1:$J$82,10,0),"")</f>
        <v/>
      </c>
      <c r="F147" s="161" t="str">
        <f>+IFERROR(VLOOKUP(C147,Hoja1!$A$1:$I$82,3,0),"")</f>
        <v/>
      </c>
      <c r="G147" s="160" t="str">
        <f>+IFERROR(VLOOKUP(C147,Hoja1!$A$1:$K$82,11,0),"")</f>
        <v/>
      </c>
      <c r="H147" s="162" t="str">
        <f>+IFERROR(VLOOKUP(C147,Hoja1!$A$1:$L$82,12,0),"")</f>
        <v/>
      </c>
      <c r="I147" s="163"/>
      <c r="J147" s="63">
        <v>133</v>
      </c>
      <c r="K147" s="62"/>
      <c r="M147" s="60"/>
      <c r="N147" s="40"/>
      <c r="O147" s="40"/>
      <c r="P147" s="40"/>
      <c r="Q147" s="40"/>
      <c r="R147" s="40"/>
      <c r="S147" s="40"/>
    </row>
    <row r="148" spans="2:19" s="36" customFormat="1" ht="99.75" customHeight="1" x14ac:dyDescent="0.2">
      <c r="B148" s="114">
        <f t="shared" si="4"/>
        <v>134</v>
      </c>
      <c r="C148" s="160" t="str">
        <f>+IFERROR(INDEX(Hoja1!$A$2:$A$82,MATCH(J148,Hoja1!$H$2:$H$82,0)),"")</f>
        <v/>
      </c>
      <c r="D148" s="161" t="str">
        <f>IFERROR(VLOOKUP(C148,Hoja1!$A$2:$H$82,4,0),"")</f>
        <v/>
      </c>
      <c r="E148" s="161" t="str">
        <f>+IFERROR(VLOOKUP(C148,Hoja1!$A$1:$J$82,10,0),"")</f>
        <v/>
      </c>
      <c r="F148" s="161" t="str">
        <f>+IFERROR(VLOOKUP(C148,Hoja1!$A$1:$I$82,3,0),"")</f>
        <v/>
      </c>
      <c r="G148" s="160" t="str">
        <f>+IFERROR(VLOOKUP(C148,Hoja1!$A$1:$K$82,11,0),"")</f>
        <v/>
      </c>
      <c r="H148" s="162" t="str">
        <f>+IFERROR(VLOOKUP(C148,Hoja1!$A$1:$L$82,12,0),"")</f>
        <v/>
      </c>
      <c r="I148" s="163"/>
      <c r="J148" s="63">
        <v>134</v>
      </c>
      <c r="K148" s="62"/>
      <c r="M148" s="60"/>
      <c r="N148" s="40"/>
      <c r="O148" s="40"/>
      <c r="P148" s="40"/>
      <c r="Q148" s="40"/>
      <c r="R148" s="40"/>
      <c r="S148" s="40"/>
    </row>
    <row r="149" spans="2:19" s="36" customFormat="1" ht="99.75" customHeight="1" x14ac:dyDescent="0.2">
      <c r="B149" s="114">
        <f t="shared" si="4"/>
        <v>135</v>
      </c>
      <c r="C149" s="160" t="str">
        <f>+IFERROR(INDEX(Hoja1!$A$2:$A$82,MATCH(J149,Hoja1!$H$2:$H$82,0)),"")</f>
        <v/>
      </c>
      <c r="D149" s="161" t="str">
        <f>IFERROR(VLOOKUP(C149,Hoja1!$A$2:$H$82,4,0),"")</f>
        <v/>
      </c>
      <c r="E149" s="161" t="str">
        <f>+IFERROR(VLOOKUP(C149,Hoja1!$A$1:$J$82,10,0),"")</f>
        <v/>
      </c>
      <c r="F149" s="161" t="str">
        <f>+IFERROR(VLOOKUP(C149,Hoja1!$A$1:$I$82,3,0),"")</f>
        <v/>
      </c>
      <c r="G149" s="160" t="str">
        <f>+IFERROR(VLOOKUP(C149,Hoja1!$A$1:$K$82,11,0),"")</f>
        <v/>
      </c>
      <c r="H149" s="162" t="str">
        <f>+IFERROR(VLOOKUP(C149,Hoja1!$A$1:$L$82,12,0),"")</f>
        <v/>
      </c>
      <c r="I149" s="163"/>
      <c r="J149" s="63">
        <v>135</v>
      </c>
      <c r="K149" s="62"/>
      <c r="M149" s="60"/>
      <c r="N149" s="40"/>
      <c r="O149" s="40"/>
      <c r="P149" s="40"/>
      <c r="Q149" s="40"/>
      <c r="R149" s="40"/>
      <c r="S149" s="40"/>
    </row>
    <row r="150" spans="2:19" s="36" customFormat="1" ht="99.75" customHeight="1" x14ac:dyDescent="0.2">
      <c r="B150" s="115">
        <f t="shared" si="4"/>
        <v>136</v>
      </c>
      <c r="C150" s="160" t="str">
        <f>+IFERROR(INDEX(Hoja1!$A$2:$A$82,MATCH(J150,Hoja1!$H$2:$H$82,0)),"")</f>
        <v/>
      </c>
      <c r="D150" s="161" t="str">
        <f>IFERROR(VLOOKUP(C150,Hoja1!$A$2:$H$82,4,0),"")</f>
        <v/>
      </c>
      <c r="E150" s="161" t="str">
        <f>+IFERROR(VLOOKUP(C150,Hoja1!$A$1:$J$82,10,0),"")</f>
        <v/>
      </c>
      <c r="F150" s="161" t="str">
        <f>+IFERROR(VLOOKUP(C150,Hoja1!$A$1:$I$82,3,0),"")</f>
        <v/>
      </c>
      <c r="G150" s="160" t="str">
        <f>+IFERROR(VLOOKUP(C150,Hoja1!$A$1:$K$82,11,0),"")</f>
        <v/>
      </c>
      <c r="H150" s="162" t="str">
        <f>+IFERROR(VLOOKUP(C150,Hoja1!$A$1:$L$82,12,0),"")</f>
        <v/>
      </c>
      <c r="I150" s="163"/>
      <c r="J150" s="63">
        <v>136</v>
      </c>
      <c r="K150" s="62"/>
      <c r="M150" s="60"/>
      <c r="N150" s="40"/>
      <c r="O150" s="40"/>
      <c r="P150" s="40"/>
      <c r="Q150" s="40"/>
      <c r="R150" s="40"/>
      <c r="S150" s="40"/>
    </row>
    <row r="151" spans="2:19" s="36" customFormat="1" ht="99.75" customHeight="1" x14ac:dyDescent="0.2">
      <c r="B151" s="114">
        <f t="shared" si="4"/>
        <v>137</v>
      </c>
      <c r="C151" s="160" t="str">
        <f>+IFERROR(INDEX(Hoja1!$A$2:$A$82,MATCH(J151,Hoja1!$H$2:$H$82,0)),"")</f>
        <v/>
      </c>
      <c r="D151" s="161" t="str">
        <f>IFERROR(VLOOKUP(C151,Hoja1!$A$2:$H$82,4,0),"")</f>
        <v/>
      </c>
      <c r="E151" s="161" t="str">
        <f>+IFERROR(VLOOKUP(C151,Hoja1!$A$1:$J$82,10,0),"")</f>
        <v/>
      </c>
      <c r="F151" s="161" t="str">
        <f>+IFERROR(VLOOKUP(C151,Hoja1!$A$1:$I$82,3,0),"")</f>
        <v/>
      </c>
      <c r="G151" s="160" t="str">
        <f>+IFERROR(VLOOKUP(C151,Hoja1!$A$1:$K$82,11,0),"")</f>
        <v/>
      </c>
      <c r="H151" s="162" t="str">
        <f>+IFERROR(VLOOKUP(C151,Hoja1!$A$1:$L$82,12,0),"")</f>
        <v/>
      </c>
      <c r="I151" s="163"/>
      <c r="J151" s="63">
        <v>137</v>
      </c>
      <c r="K151" s="62"/>
      <c r="M151" s="60"/>
      <c r="N151" s="40"/>
      <c r="O151" s="40"/>
      <c r="P151" s="40"/>
      <c r="Q151" s="40"/>
      <c r="R151" s="40"/>
      <c r="S151" s="40"/>
    </row>
    <row r="152" spans="2:19" s="36" customFormat="1" ht="99.75" customHeight="1" x14ac:dyDescent="0.2">
      <c r="B152" s="114">
        <f t="shared" si="4"/>
        <v>138</v>
      </c>
      <c r="C152" s="160" t="str">
        <f>+IFERROR(INDEX(Hoja1!$A$2:$A$82,MATCH(J152,Hoja1!$H$2:$H$82,0)),"")</f>
        <v/>
      </c>
      <c r="D152" s="161" t="str">
        <f>IFERROR(VLOOKUP(C152,Hoja1!$A$2:$H$82,4,0),"")</f>
        <v/>
      </c>
      <c r="E152" s="161" t="str">
        <f>+IFERROR(VLOOKUP(C152,Hoja1!$A$1:$J$82,10,0),"")</f>
        <v/>
      </c>
      <c r="F152" s="161" t="str">
        <f>+IFERROR(VLOOKUP(C152,Hoja1!$A$1:$I$82,3,0),"")</f>
        <v/>
      </c>
      <c r="G152" s="160" t="str">
        <f>+IFERROR(VLOOKUP(C152,Hoja1!$A$1:$K$82,11,0),"")</f>
        <v/>
      </c>
      <c r="H152" s="162" t="str">
        <f>+IFERROR(VLOOKUP(C152,Hoja1!$A$1:$L$82,12,0),"")</f>
        <v/>
      </c>
      <c r="I152" s="163"/>
      <c r="J152" s="63">
        <v>138</v>
      </c>
      <c r="K152" s="62"/>
      <c r="M152" s="60"/>
      <c r="N152" s="40"/>
      <c r="O152" s="40"/>
      <c r="P152" s="40"/>
      <c r="Q152" s="40"/>
      <c r="R152" s="40"/>
      <c r="S152" s="40"/>
    </row>
    <row r="153" spans="2:19" s="36" customFormat="1" ht="99.75" customHeight="1" x14ac:dyDescent="0.2">
      <c r="B153" s="114">
        <f t="shared" si="4"/>
        <v>139</v>
      </c>
      <c r="C153" s="160" t="str">
        <f>+IFERROR(INDEX(Hoja1!$A$2:$A$82,MATCH(J153,Hoja1!$H$2:$H$82,0)),"")</f>
        <v/>
      </c>
      <c r="D153" s="161" t="str">
        <f>IFERROR(VLOOKUP(C153,Hoja1!$A$2:$H$82,4,0),"")</f>
        <v/>
      </c>
      <c r="E153" s="161" t="str">
        <f>+IFERROR(VLOOKUP(C153,Hoja1!$A$1:$J$82,10,0),"")</f>
        <v/>
      </c>
      <c r="F153" s="161" t="str">
        <f>+IFERROR(VLOOKUP(C153,Hoja1!$A$1:$I$82,3,0),"")</f>
        <v/>
      </c>
      <c r="G153" s="160" t="str">
        <f>+IFERROR(VLOOKUP(C153,Hoja1!$A$1:$K$82,11,0),"")</f>
        <v/>
      </c>
      <c r="H153" s="162" t="str">
        <f>+IFERROR(VLOOKUP(C153,Hoja1!$A$1:$L$82,12,0),"")</f>
        <v/>
      </c>
      <c r="I153" s="163"/>
      <c r="J153" s="63">
        <v>139</v>
      </c>
      <c r="K153" s="62"/>
      <c r="M153" s="60"/>
      <c r="N153" s="40"/>
      <c r="O153" s="40"/>
      <c r="P153" s="40"/>
      <c r="Q153" s="40"/>
      <c r="R153" s="40"/>
      <c r="S153" s="40"/>
    </row>
    <row r="154" spans="2:19" s="36" customFormat="1" ht="99.75" customHeight="1" x14ac:dyDescent="0.2">
      <c r="B154" s="114">
        <f t="shared" si="4"/>
        <v>140</v>
      </c>
      <c r="C154" s="160" t="str">
        <f>+IFERROR(INDEX(Hoja1!$A$2:$A$82,MATCH(J154,Hoja1!$H$2:$H$82,0)),"")</f>
        <v/>
      </c>
      <c r="D154" s="161" t="str">
        <f>IFERROR(VLOOKUP(C154,Hoja1!$A$2:$H$82,4,0),"")</f>
        <v/>
      </c>
      <c r="E154" s="161" t="str">
        <f>+IFERROR(VLOOKUP(C154,Hoja1!$A$1:$J$82,10,0),"")</f>
        <v/>
      </c>
      <c r="F154" s="161" t="str">
        <f>+IFERROR(VLOOKUP(C154,Hoja1!$A$1:$I$82,3,0),"")</f>
        <v/>
      </c>
      <c r="G154" s="160" t="str">
        <f>+IFERROR(VLOOKUP(C154,Hoja1!$A$1:$K$82,11,0),"")</f>
        <v/>
      </c>
      <c r="H154" s="162" t="str">
        <f>+IFERROR(VLOOKUP(C154,Hoja1!$A$1:$L$82,12,0),"")</f>
        <v/>
      </c>
      <c r="I154" s="163"/>
      <c r="J154" s="63">
        <v>140</v>
      </c>
      <c r="K154" s="62"/>
      <c r="M154" s="60"/>
      <c r="N154" s="40"/>
      <c r="O154" s="40"/>
      <c r="P154" s="40"/>
      <c r="Q154" s="40"/>
      <c r="R154" s="40"/>
      <c r="S154" s="40"/>
    </row>
    <row r="155" spans="2:19" s="36" customFormat="1" ht="99.75" customHeight="1" x14ac:dyDescent="0.2">
      <c r="B155" s="115">
        <f t="shared" si="4"/>
        <v>141</v>
      </c>
      <c r="C155" s="160" t="str">
        <f>+IFERROR(INDEX(Hoja1!$A$2:$A$82,MATCH(J155,Hoja1!$H$2:$H$82,0)),"")</f>
        <v/>
      </c>
      <c r="D155" s="161" t="str">
        <f>IFERROR(VLOOKUP(C155,Hoja1!$A$2:$H$82,4,0),"")</f>
        <v/>
      </c>
      <c r="E155" s="161" t="str">
        <f>+IFERROR(VLOOKUP(C155,Hoja1!$A$1:$J$82,10,0),"")</f>
        <v/>
      </c>
      <c r="F155" s="161" t="str">
        <f>+IFERROR(VLOOKUP(C155,Hoja1!$A$1:$I$82,3,0),"")</f>
        <v/>
      </c>
      <c r="G155" s="160" t="str">
        <f>+IFERROR(VLOOKUP(C155,Hoja1!$A$1:$K$82,11,0),"")</f>
        <v/>
      </c>
      <c r="H155" s="162" t="str">
        <f>+IFERROR(VLOOKUP(C155,Hoja1!$A$1:$L$82,12,0),"")</f>
        <v/>
      </c>
      <c r="I155" s="163"/>
      <c r="J155" s="63">
        <v>141</v>
      </c>
      <c r="K155" s="62"/>
      <c r="M155" s="60"/>
      <c r="N155" s="40"/>
      <c r="O155" s="40"/>
      <c r="P155" s="40"/>
      <c r="Q155" s="40"/>
      <c r="R155" s="40"/>
      <c r="S155" s="40"/>
    </row>
    <row r="156" spans="2:19" s="36" customFormat="1" ht="99.75" customHeight="1" x14ac:dyDescent="0.2">
      <c r="B156" s="114">
        <f t="shared" si="4"/>
        <v>142</v>
      </c>
      <c r="C156" s="160" t="str">
        <f>+IFERROR(INDEX(Hoja1!$A$2:$A$82,MATCH(J156,Hoja1!$H$2:$H$82,0)),"")</f>
        <v/>
      </c>
      <c r="D156" s="161" t="str">
        <f>IFERROR(VLOOKUP(C156,Hoja1!$A$2:$H$82,4,0),"")</f>
        <v/>
      </c>
      <c r="E156" s="161" t="str">
        <f>+IFERROR(VLOOKUP(C156,Hoja1!$A$1:$J$82,10,0),"")</f>
        <v/>
      </c>
      <c r="F156" s="161" t="str">
        <f>+IFERROR(VLOOKUP(C156,Hoja1!$A$1:$I$82,3,0),"")</f>
        <v/>
      </c>
      <c r="G156" s="160" t="str">
        <f>+IFERROR(VLOOKUP(C156,Hoja1!$A$1:$K$82,11,0),"")</f>
        <v/>
      </c>
      <c r="H156" s="162" t="str">
        <f>+IFERROR(VLOOKUP(C156,Hoja1!$A$1:$L$82,12,0),"")</f>
        <v/>
      </c>
      <c r="I156" s="163"/>
      <c r="J156" s="63">
        <v>142</v>
      </c>
      <c r="K156" s="62"/>
      <c r="M156" s="60"/>
      <c r="N156" s="40"/>
      <c r="O156" s="40"/>
      <c r="P156" s="40"/>
      <c r="Q156" s="40"/>
      <c r="R156" s="40"/>
      <c r="S156" s="40"/>
    </row>
    <row r="157" spans="2:19" s="36" customFormat="1" ht="99.75" customHeight="1" x14ac:dyDescent="0.2">
      <c r="B157" s="114">
        <f t="shared" si="4"/>
        <v>143</v>
      </c>
      <c r="C157" s="160" t="str">
        <f>+IFERROR(INDEX(Hoja1!$A$2:$A$82,MATCH(J157,Hoja1!$H$2:$H$82,0)),"")</f>
        <v/>
      </c>
      <c r="D157" s="161" t="str">
        <f>IFERROR(VLOOKUP(C157,Hoja1!$A$2:$H$82,4,0),"")</f>
        <v/>
      </c>
      <c r="E157" s="161" t="str">
        <f>+IFERROR(VLOOKUP(C157,Hoja1!$A$1:$J$82,10,0),"")</f>
        <v/>
      </c>
      <c r="F157" s="161" t="str">
        <f>+IFERROR(VLOOKUP(C157,Hoja1!$A$1:$I$82,3,0),"")</f>
        <v/>
      </c>
      <c r="G157" s="160" t="str">
        <f>+IFERROR(VLOOKUP(C157,Hoja1!$A$1:$K$82,11,0),"")</f>
        <v/>
      </c>
      <c r="H157" s="162" t="str">
        <f>+IFERROR(VLOOKUP(C157,Hoja1!$A$1:$L$82,12,0),"")</f>
        <v/>
      </c>
      <c r="I157" s="163"/>
      <c r="J157" s="63">
        <v>143</v>
      </c>
      <c r="K157" s="62"/>
      <c r="M157" s="60"/>
      <c r="N157" s="40"/>
      <c r="O157" s="40"/>
      <c r="P157" s="40"/>
      <c r="Q157" s="40"/>
      <c r="R157" s="40"/>
      <c r="S157" s="40"/>
    </row>
    <row r="158" spans="2:19" s="36" customFormat="1" ht="99.75" customHeight="1" x14ac:dyDescent="0.2">
      <c r="B158" s="114">
        <f t="shared" si="4"/>
        <v>144</v>
      </c>
      <c r="C158" s="160" t="str">
        <f>+IFERROR(INDEX(Hoja1!$A$2:$A$82,MATCH(J158,Hoja1!$H$2:$H$82,0)),"")</f>
        <v/>
      </c>
      <c r="D158" s="161" t="str">
        <f>IFERROR(VLOOKUP(C158,Hoja1!$A$2:$H$82,4,0),"")</f>
        <v/>
      </c>
      <c r="E158" s="161" t="str">
        <f>+IFERROR(VLOOKUP(C158,Hoja1!$A$1:$J$82,10,0),"")</f>
        <v/>
      </c>
      <c r="F158" s="161" t="str">
        <f>+IFERROR(VLOOKUP(C158,Hoja1!$A$1:$I$82,3,0),"")</f>
        <v/>
      </c>
      <c r="G158" s="160" t="str">
        <f>+IFERROR(VLOOKUP(C158,Hoja1!$A$1:$K$82,11,0),"")</f>
        <v/>
      </c>
      <c r="H158" s="162" t="str">
        <f>+IFERROR(VLOOKUP(C158,Hoja1!$A$1:$L$82,12,0),"")</f>
        <v/>
      </c>
      <c r="I158" s="163"/>
      <c r="J158" s="63">
        <v>144</v>
      </c>
      <c r="K158" s="62"/>
      <c r="M158" s="60"/>
      <c r="N158" s="40"/>
      <c r="O158" s="40"/>
      <c r="P158" s="40"/>
      <c r="Q158" s="40"/>
      <c r="R158" s="40"/>
      <c r="S158" s="40"/>
    </row>
    <row r="159" spans="2:19" s="36" customFormat="1" ht="99.75" customHeight="1" x14ac:dyDescent="0.2">
      <c r="B159" s="114">
        <f t="shared" si="4"/>
        <v>145</v>
      </c>
      <c r="C159" s="160" t="str">
        <f>+IFERROR(INDEX(Hoja1!$A$2:$A$82,MATCH(J159,Hoja1!$H$2:$H$82,0)),"")</f>
        <v/>
      </c>
      <c r="D159" s="161" t="str">
        <f>IFERROR(VLOOKUP(C159,Hoja1!$A$2:$H$82,4,0),"")</f>
        <v/>
      </c>
      <c r="E159" s="161" t="str">
        <f>+IFERROR(VLOOKUP(C159,Hoja1!$A$1:$J$82,10,0),"")</f>
        <v/>
      </c>
      <c r="F159" s="161" t="str">
        <f>+IFERROR(VLOOKUP(C159,Hoja1!$A$1:$I$82,3,0),"")</f>
        <v/>
      </c>
      <c r="G159" s="160" t="str">
        <f>+IFERROR(VLOOKUP(C159,Hoja1!$A$1:$K$82,11,0),"")</f>
        <v/>
      </c>
      <c r="H159" s="162" t="str">
        <f>+IFERROR(VLOOKUP(C159,Hoja1!$A$1:$L$82,12,0),"")</f>
        <v/>
      </c>
      <c r="I159" s="163"/>
      <c r="J159" s="63">
        <v>145</v>
      </c>
      <c r="K159" s="62"/>
      <c r="M159" s="60"/>
      <c r="N159" s="40"/>
      <c r="O159" s="40"/>
      <c r="P159" s="40"/>
      <c r="Q159" s="40"/>
      <c r="R159" s="40"/>
      <c r="S159" s="40"/>
    </row>
    <row r="160" spans="2:19" s="36" customFormat="1" ht="99.75" customHeight="1" x14ac:dyDescent="0.2">
      <c r="B160" s="115">
        <f t="shared" si="4"/>
        <v>146</v>
      </c>
      <c r="C160" s="160" t="str">
        <f>+IFERROR(INDEX(Hoja1!$A$2:$A$82,MATCH(J160,Hoja1!$H$2:$H$82,0)),"")</f>
        <v/>
      </c>
      <c r="D160" s="161" t="str">
        <f>IFERROR(VLOOKUP(C160,Hoja1!$A$2:$H$82,4,0),"")</f>
        <v/>
      </c>
      <c r="E160" s="161" t="str">
        <f>+IFERROR(VLOOKUP(C160,Hoja1!$A$1:$J$82,10,0),"")</f>
        <v/>
      </c>
      <c r="F160" s="161" t="str">
        <f>+IFERROR(VLOOKUP(C160,Hoja1!$A$1:$I$82,3,0),"")</f>
        <v/>
      </c>
      <c r="G160" s="160" t="str">
        <f>+IFERROR(VLOOKUP(C160,Hoja1!$A$1:$K$82,11,0),"")</f>
        <v/>
      </c>
      <c r="H160" s="162" t="str">
        <f>+IFERROR(VLOOKUP(C160,Hoja1!$A$1:$L$82,12,0),"")</f>
        <v/>
      </c>
      <c r="I160" s="163"/>
      <c r="J160" s="63">
        <v>146</v>
      </c>
      <c r="K160" s="62"/>
      <c r="M160" s="60"/>
      <c r="N160" s="40"/>
      <c r="O160" s="40"/>
      <c r="P160" s="40"/>
      <c r="Q160" s="40"/>
      <c r="R160" s="40"/>
      <c r="S160" s="40"/>
    </row>
    <row r="161" spans="2:19" s="36" customFormat="1" ht="99.75" customHeight="1" x14ac:dyDescent="0.2">
      <c r="B161" s="114">
        <f t="shared" si="4"/>
        <v>147</v>
      </c>
      <c r="C161" s="160" t="str">
        <f>+IFERROR(INDEX(Hoja1!$A$2:$A$82,MATCH(J161,Hoja1!$H$2:$H$82,0)),"")</f>
        <v/>
      </c>
      <c r="D161" s="161" t="str">
        <f>IFERROR(VLOOKUP(C161,Hoja1!$A$2:$H$82,4,0),"")</f>
        <v/>
      </c>
      <c r="E161" s="161" t="str">
        <f>+IFERROR(VLOOKUP(C161,Hoja1!$A$1:$J$82,10,0),"")</f>
        <v/>
      </c>
      <c r="F161" s="161" t="str">
        <f>+IFERROR(VLOOKUP(C161,Hoja1!$A$1:$I$82,3,0),"")</f>
        <v/>
      </c>
      <c r="G161" s="160" t="str">
        <f>+IFERROR(VLOOKUP(C161,Hoja1!$A$1:$K$82,11,0),"")</f>
        <v/>
      </c>
      <c r="H161" s="162" t="str">
        <f>+IFERROR(VLOOKUP(C161,Hoja1!$A$1:$L$82,12,0),"")</f>
        <v/>
      </c>
      <c r="I161" s="163"/>
      <c r="J161" s="63">
        <v>147</v>
      </c>
      <c r="K161" s="62"/>
      <c r="M161" s="60"/>
      <c r="N161" s="40"/>
      <c r="O161" s="40"/>
      <c r="P161" s="40"/>
      <c r="Q161" s="40"/>
      <c r="R161" s="40"/>
      <c r="S161" s="40"/>
    </row>
    <row r="162" spans="2:19" s="36" customFormat="1" ht="99.75" customHeight="1" x14ac:dyDescent="0.2">
      <c r="B162" s="114">
        <f t="shared" si="4"/>
        <v>148</v>
      </c>
      <c r="C162" s="160" t="str">
        <f>+IFERROR(INDEX(Hoja1!$A$2:$A$82,MATCH(J162,Hoja1!$H$2:$H$82,0)),"")</f>
        <v/>
      </c>
      <c r="D162" s="161" t="str">
        <f>IFERROR(VLOOKUP(C162,Hoja1!$A$2:$H$82,4,0),"")</f>
        <v/>
      </c>
      <c r="E162" s="161" t="str">
        <f>+IFERROR(VLOOKUP(C162,Hoja1!$A$1:$J$82,10,0),"")</f>
        <v/>
      </c>
      <c r="F162" s="161" t="str">
        <f>+IFERROR(VLOOKUP(C162,Hoja1!$A$1:$I$82,3,0),"")</f>
        <v/>
      </c>
      <c r="G162" s="160" t="str">
        <f>+IFERROR(VLOOKUP(C162,Hoja1!$A$1:$K$82,11,0),"")</f>
        <v/>
      </c>
      <c r="H162" s="162" t="str">
        <f>+IFERROR(VLOOKUP(C162,Hoja1!$A$1:$L$82,12,0),"")</f>
        <v/>
      </c>
      <c r="I162" s="163"/>
      <c r="J162" s="63">
        <v>148</v>
      </c>
      <c r="K162" s="62"/>
      <c r="M162" s="60"/>
      <c r="N162" s="40"/>
      <c r="O162" s="40"/>
      <c r="P162" s="40"/>
      <c r="Q162" s="40"/>
      <c r="R162" s="40"/>
      <c r="S162" s="40"/>
    </row>
    <row r="163" spans="2:19" s="36" customFormat="1" ht="99.75" customHeight="1" x14ac:dyDescent="0.2">
      <c r="B163" s="114">
        <f t="shared" si="4"/>
        <v>149</v>
      </c>
      <c r="C163" s="160" t="str">
        <f>+IFERROR(INDEX(Hoja1!$A$2:$A$82,MATCH(J163,Hoja1!$H$2:$H$82,0)),"")</f>
        <v/>
      </c>
      <c r="D163" s="161" t="str">
        <f>IFERROR(VLOOKUP(C163,Hoja1!$A$2:$H$82,4,0),"")</f>
        <v/>
      </c>
      <c r="E163" s="161" t="str">
        <f>+IFERROR(VLOOKUP(C163,Hoja1!$A$1:$J$82,10,0),"")</f>
        <v/>
      </c>
      <c r="F163" s="161" t="str">
        <f>+IFERROR(VLOOKUP(C163,Hoja1!$A$1:$I$82,3,0),"")</f>
        <v/>
      </c>
      <c r="G163" s="160" t="str">
        <f>+IFERROR(VLOOKUP(C163,Hoja1!$A$1:$K$82,11,0),"")</f>
        <v/>
      </c>
      <c r="H163" s="162" t="str">
        <f>+IFERROR(VLOOKUP(C163,Hoja1!$A$1:$L$82,12,0),"")</f>
        <v/>
      </c>
      <c r="I163" s="163"/>
      <c r="J163" s="63">
        <v>149</v>
      </c>
      <c r="K163" s="62"/>
      <c r="M163" s="60"/>
      <c r="N163" s="40"/>
      <c r="O163" s="40"/>
      <c r="P163" s="40"/>
      <c r="Q163" s="40"/>
      <c r="R163" s="40"/>
      <c r="S163" s="40"/>
    </row>
    <row r="164" spans="2:19" s="36" customFormat="1" ht="99.75" customHeight="1" thickBot="1" x14ac:dyDescent="0.25">
      <c r="B164" s="116">
        <f t="shared" si="4"/>
        <v>150</v>
      </c>
      <c r="C164" s="164" t="str">
        <f>+IFERROR(INDEX(Hoja1!$A$2:$A$82,MATCH(J164,Hoja1!$H$2:$H$82,0)),"")</f>
        <v/>
      </c>
      <c r="D164" s="165" t="str">
        <f>IFERROR(VLOOKUP(C164,Hoja1!$A$2:$H$82,4,0),"")</f>
        <v/>
      </c>
      <c r="E164" s="165" t="str">
        <f>+IFERROR(VLOOKUP(C164,Hoja1!$A$1:$J$82,10,0),"")</f>
        <v/>
      </c>
      <c r="F164" s="165" t="str">
        <f>+IFERROR(VLOOKUP(C164,Hoja1!$A$1:$I$82,3,0),"")</f>
        <v/>
      </c>
      <c r="G164" s="164" t="str">
        <f>+IFERROR(VLOOKUP(C164,Hoja1!$A$1:$K$82,11,0),"")</f>
        <v/>
      </c>
      <c r="H164" s="166" t="str">
        <f>+IFERROR(VLOOKUP(C164,Hoja1!$A$1:$L$82,12,0),"")</f>
        <v/>
      </c>
      <c r="I164" s="167"/>
      <c r="J164" s="63">
        <v>150</v>
      </c>
      <c r="K164" s="62"/>
      <c r="M164" s="60"/>
      <c r="N164" s="40"/>
      <c r="O164" s="40"/>
      <c r="P164" s="40"/>
      <c r="Q164" s="40"/>
      <c r="R164" s="40"/>
      <c r="S164" s="40"/>
    </row>
  </sheetData>
  <sheetProtection password="D72A" sheet="1" objects="1" scenarios="1" formatCells="0" formatColumns="0" formatRows="0"/>
  <mergeCells count="31">
    <mergeCell ref="K13:K14"/>
    <mergeCell ref="B9:C9"/>
    <mergeCell ref="H13:H14"/>
    <mergeCell ref="F10:G10"/>
    <mergeCell ref="F9:G9"/>
    <mergeCell ref="B11:I11"/>
    <mergeCell ref="B13:B14"/>
    <mergeCell ref="C13:F13"/>
    <mergeCell ref="G13:G14"/>
    <mergeCell ref="I13:I14"/>
    <mergeCell ref="L68:L81"/>
    <mergeCell ref="L82:L95"/>
    <mergeCell ref="B8:C8"/>
    <mergeCell ref="D8:E8"/>
    <mergeCell ref="B4:L4"/>
    <mergeCell ref="B6:C6"/>
    <mergeCell ref="D6:E6"/>
    <mergeCell ref="B7:C7"/>
    <mergeCell ref="D7:E7"/>
    <mergeCell ref="F6:G6"/>
    <mergeCell ref="F7:G7"/>
    <mergeCell ref="F8:G8"/>
    <mergeCell ref="D9:E9"/>
    <mergeCell ref="B10:C10"/>
    <mergeCell ref="D10:E10"/>
    <mergeCell ref="L13:L14"/>
    <mergeCell ref="N13:S13"/>
    <mergeCell ref="M13:M14"/>
    <mergeCell ref="L15:L38"/>
    <mergeCell ref="L39:L55"/>
    <mergeCell ref="L56:L67"/>
  </mergeCells>
  <conditionalFormatting sqref="C15">
    <cfRule type="cellIs" dxfId="57" priority="34" operator="equal">
      <formula>$I$15</formula>
    </cfRule>
    <cfRule type="cellIs" dxfId="56" priority="35" operator="equal">
      <formula>$I$15</formula>
    </cfRule>
  </conditionalFormatting>
  <conditionalFormatting sqref="K15:K95">
    <cfRule type="cellIs" dxfId="50" priority="6" operator="equal">
      <formula>$I$7</formula>
    </cfRule>
    <cfRule type="cellIs" dxfId="49" priority="7" operator="equal">
      <formula>$I$8</formula>
    </cfRule>
    <cfRule type="cellIs" dxfId="48" priority="8" operator="equal">
      <formula>$I$9</formula>
    </cfRule>
    <cfRule type="cellIs" dxfId="47" priority="9" operator="between">
      <formula>0</formula>
      <formula>$I$10</formula>
    </cfRule>
  </conditionalFormatting>
  <conditionalFormatting sqref="L15 L39 L56 L68 L82">
    <cfRule type="cellIs" dxfId="46" priority="15" operator="between">
      <formula>0.76</formula>
      <formula>1</formula>
    </cfRule>
    <cfRule type="cellIs" dxfId="45" priority="16" operator="between">
      <formula>0.51</formula>
      <formula>0.75</formula>
    </cfRule>
    <cfRule type="cellIs" dxfId="44" priority="17" operator="between">
      <formula>0.26</formula>
      <formula>0.5</formula>
    </cfRule>
    <cfRule type="cellIs" dxfId="43" priority="18" operator="between">
      <formula>0</formula>
      <formula>0.25</formula>
    </cfRule>
  </conditionalFormatting>
  <dataValidations count="1">
    <dataValidation allowBlank="1" showInputMessage="1" showErrorMessage="1" error="Por favor seleccione el id de requerimiento de la lista desplegable." sqref="C15:C164" xr:uid="{00000000-0002-0000-0700-000000000000}"/>
  </dataValidations>
  <pageMargins left="0.7" right="0.7" top="0.75" bottom="0.75" header="0.3" footer="0.3"/>
  <pageSetup orientation="portrait" r:id="rId1"/>
  <ignoredErrors>
    <ignoredError sqref="G16:H164 K15:K89 K90:K91 K92:K95 L82 L56 L39 L15 L12:L14 L16:L38 L40:L55 L57:L81"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id="{5E2F26C5-CF1D-4EC6-BBEF-362A038FC912}">
            <xm:f>NOT(ISERROR(SEARCH($H$8,I15)))</xm:f>
            <xm:f>$H$8</xm:f>
            <x14:dxf>
              <fill>
                <patternFill>
                  <bgColor rgb="FF92D050"/>
                </patternFill>
              </fill>
            </x14:dxf>
          </x14:cfRule>
          <x14:cfRule type="containsText" priority="2" operator="containsText" id="{0224A7CA-1E76-4F4F-A8C5-40297882330D}">
            <xm:f>NOT(ISERROR(SEARCH($F$7,I15)))</xm:f>
            <xm:f>$F$7</xm:f>
            <x14:dxf>
              <fill>
                <patternFill>
                  <bgColor rgb="FF00B050"/>
                </patternFill>
              </fill>
            </x14:dxf>
          </x14:cfRule>
          <x14:cfRule type="containsText" priority="3" operator="containsText" id="{0E8AB5C2-6A6C-4527-B832-E0C6EBC38C20}">
            <xm:f>NOT(ISERROR(SEARCH($F$8,I15)))</xm:f>
            <xm:f>$F$8</xm:f>
            <x14:dxf>
              <fill>
                <patternFill>
                  <bgColor rgb="FF00B0F0"/>
                </patternFill>
              </fill>
            </x14:dxf>
          </x14:cfRule>
          <x14:cfRule type="containsText" priority="4" operator="containsText" id="{C640A1DB-4AF0-46BD-A428-31AC18045175}">
            <xm:f>NOT(ISERROR(SEARCH($F$9,I15)))</xm:f>
            <xm:f>$F$9</xm:f>
            <x14:dxf>
              <fill>
                <patternFill>
                  <bgColor rgb="FFFFFF00"/>
                </patternFill>
              </fill>
            </x14:dxf>
          </x14:cfRule>
          <x14:cfRule type="containsText" priority="5" operator="containsText" id="{19CC59A2-16AE-491B-8AEA-184D76FD7C64}">
            <xm:f>NOT(ISERROR(SEARCH($F$10,I15)))</xm:f>
            <xm:f>$F$10</xm:f>
            <x14:dxf>
              <fill>
                <patternFill>
                  <bgColor rgb="FFFF0000"/>
                </patternFill>
              </fill>
            </x14:dxf>
          </x14:cfRule>
          <xm:sqref>I15:I95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ABAC4-7B8B-3745-AB25-1AAE62EEB247}">
  <sheetPr>
    <tabColor rgb="FF00B050"/>
  </sheetPr>
  <dimension ref="B1:V38"/>
  <sheetViews>
    <sheetView zoomScale="75" zoomScaleNormal="50" workbookViewId="0">
      <selection activeCell="I25" sqref="I25"/>
    </sheetView>
  </sheetViews>
  <sheetFormatPr baseColWidth="10" defaultColWidth="11.42578125" defaultRowHeight="12.75" x14ac:dyDescent="0.2"/>
  <cols>
    <col min="1" max="1" width="3.140625" style="28" customWidth="1"/>
    <col min="2" max="2" width="3.42578125" style="28" customWidth="1"/>
    <col min="3" max="3" width="31.28515625" style="28" customWidth="1"/>
    <col min="4" max="4" width="2.42578125" style="28" customWidth="1"/>
    <col min="5" max="5" width="36.140625" style="28" customWidth="1"/>
    <col min="6" max="6" width="10.85546875" style="28" customWidth="1"/>
    <col min="7" max="7" width="23.42578125" style="28" customWidth="1"/>
    <col min="8" max="8" width="7.42578125" style="28" customWidth="1"/>
    <col min="9" max="9" width="121.7109375" style="28" customWidth="1"/>
    <col min="10" max="10" width="5.85546875" style="28" customWidth="1"/>
    <col min="11" max="11" width="28.140625" style="28" customWidth="1"/>
    <col min="12" max="12" width="4.28515625" style="28" customWidth="1"/>
    <col min="13" max="13" width="71.85546875" style="28" customWidth="1"/>
    <col min="14" max="14" width="5.85546875" style="28" customWidth="1"/>
    <col min="15" max="15" width="24.85546875" style="28" customWidth="1"/>
    <col min="16" max="16" width="7" style="28" customWidth="1"/>
    <col min="17" max="16384" width="11.42578125" style="28"/>
  </cols>
  <sheetData>
    <row r="1" spans="2:16" ht="13.5" thickBot="1" x14ac:dyDescent="0.25"/>
    <row r="2" spans="2:16" ht="18" customHeight="1" thickTop="1" x14ac:dyDescent="0.2">
      <c r="B2" s="24"/>
      <c r="C2" s="25"/>
      <c r="D2" s="25"/>
      <c r="E2" s="25"/>
      <c r="F2" s="25"/>
      <c r="G2" s="25"/>
      <c r="H2" s="25"/>
      <c r="I2" s="25"/>
      <c r="J2" s="25"/>
      <c r="K2" s="25"/>
      <c r="L2" s="25"/>
      <c r="M2" s="25"/>
      <c r="N2" s="25"/>
      <c r="O2" s="25"/>
      <c r="P2" s="26"/>
    </row>
    <row r="3" spans="2:16" ht="18" customHeight="1" x14ac:dyDescent="0.3">
      <c r="B3" s="27"/>
      <c r="E3" s="633" t="s">
        <v>310</v>
      </c>
      <c r="F3" s="635" t="s">
        <v>703</v>
      </c>
      <c r="G3" s="635"/>
      <c r="H3" s="635"/>
      <c r="I3" s="635"/>
      <c r="J3" s="635"/>
      <c r="K3" s="635"/>
      <c r="L3" s="635"/>
      <c r="M3" s="635"/>
      <c r="N3" s="142"/>
      <c r="O3" s="142"/>
      <c r="P3" s="29"/>
    </row>
    <row r="4" spans="2:16" ht="18" customHeight="1" x14ac:dyDescent="0.3">
      <c r="B4" s="27"/>
      <c r="E4" s="634"/>
      <c r="F4" s="635"/>
      <c r="G4" s="635"/>
      <c r="H4" s="635"/>
      <c r="I4" s="635"/>
      <c r="J4" s="635"/>
      <c r="K4" s="635"/>
      <c r="L4" s="635"/>
      <c r="M4" s="635"/>
      <c r="N4" s="142"/>
      <c r="O4" s="142"/>
      <c r="P4" s="29"/>
    </row>
    <row r="5" spans="2:16" ht="41.25" customHeight="1" x14ac:dyDescent="0.3">
      <c r="B5" s="27"/>
      <c r="E5" s="100" t="s">
        <v>311</v>
      </c>
      <c r="F5" s="636" t="s">
        <v>704</v>
      </c>
      <c r="G5" s="637"/>
      <c r="H5" s="637"/>
      <c r="I5" s="637"/>
      <c r="J5" s="637"/>
      <c r="K5" s="637"/>
      <c r="L5" s="637"/>
      <c r="M5" s="638"/>
      <c r="N5" s="143"/>
      <c r="O5" s="143"/>
      <c r="P5" s="29"/>
    </row>
    <row r="6" spans="2:16" ht="18" customHeight="1" thickBot="1" x14ac:dyDescent="0.35">
      <c r="B6" s="27"/>
      <c r="E6" s="42"/>
      <c r="F6" s="143"/>
      <c r="G6" s="143"/>
      <c r="H6" s="143"/>
      <c r="I6" s="143"/>
      <c r="J6" s="143"/>
      <c r="K6" s="143"/>
      <c r="L6" s="143"/>
      <c r="P6" s="29"/>
    </row>
    <row r="7" spans="2:16" ht="93" customHeight="1" thickBot="1" x14ac:dyDescent="0.25">
      <c r="B7" s="27"/>
      <c r="I7" s="639" t="s">
        <v>312</v>
      </c>
      <c r="J7" s="640"/>
      <c r="K7" s="641"/>
      <c r="M7" s="126">
        <f>+AVERAGE(G25,G27,G29,G31,G33)</f>
        <v>0.96666666666666656</v>
      </c>
      <c r="N7" s="48"/>
      <c r="O7" s="48"/>
      <c r="P7" s="29"/>
    </row>
    <row r="8" spans="2:16" ht="18" customHeight="1" x14ac:dyDescent="0.25">
      <c r="B8" s="27"/>
      <c r="M8" s="43"/>
      <c r="N8" s="43"/>
      <c r="O8" s="43"/>
      <c r="P8" s="29"/>
    </row>
    <row r="9" spans="2:16" ht="18" customHeight="1" x14ac:dyDescent="0.2">
      <c r="B9" s="27"/>
      <c r="P9" s="29"/>
    </row>
    <row r="10" spans="2:16" x14ac:dyDescent="0.2">
      <c r="B10" s="27"/>
      <c r="P10" s="29"/>
    </row>
    <row r="11" spans="2:16" x14ac:dyDescent="0.2">
      <c r="B11" s="27"/>
      <c r="P11" s="29"/>
    </row>
    <row r="12" spans="2:16" x14ac:dyDescent="0.2">
      <c r="B12" s="27"/>
      <c r="P12" s="29"/>
    </row>
    <row r="13" spans="2:16" x14ac:dyDescent="0.2">
      <c r="B13" s="27"/>
      <c r="P13" s="29"/>
    </row>
    <row r="14" spans="2:16" x14ac:dyDescent="0.2">
      <c r="B14" s="27"/>
      <c r="P14" s="29"/>
    </row>
    <row r="15" spans="2:16" x14ac:dyDescent="0.2">
      <c r="B15" s="27"/>
      <c r="P15" s="29"/>
    </row>
    <row r="16" spans="2:16" x14ac:dyDescent="0.2">
      <c r="B16" s="27"/>
      <c r="P16" s="29"/>
    </row>
    <row r="17" spans="2:22" ht="23.25" x14ac:dyDescent="0.2">
      <c r="B17" s="27"/>
      <c r="C17" s="642" t="s">
        <v>313</v>
      </c>
      <c r="D17" s="643"/>
      <c r="E17" s="643"/>
      <c r="F17" s="643"/>
      <c r="G17" s="643"/>
      <c r="H17" s="643"/>
      <c r="I17" s="643"/>
      <c r="J17" s="643"/>
      <c r="K17" s="643"/>
      <c r="L17" s="643"/>
      <c r="M17" s="644"/>
      <c r="N17" s="49"/>
      <c r="O17" s="49"/>
      <c r="P17" s="29"/>
    </row>
    <row r="18" spans="2:22" ht="15.75" customHeight="1" x14ac:dyDescent="0.2">
      <c r="B18" s="27"/>
      <c r="C18" s="30"/>
      <c r="D18" s="30"/>
      <c r="E18" s="30"/>
      <c r="F18" s="30"/>
      <c r="G18" s="30"/>
      <c r="H18" s="30"/>
      <c r="I18" s="30"/>
      <c r="J18" s="30"/>
      <c r="K18" s="30"/>
      <c r="L18" s="30"/>
      <c r="M18" s="30"/>
      <c r="N18" s="31"/>
      <c r="O18" s="31"/>
      <c r="P18" s="29"/>
    </row>
    <row r="19" spans="2:22" ht="147" customHeight="1" x14ac:dyDescent="0.2">
      <c r="B19" s="27"/>
      <c r="C19" s="626" t="s">
        <v>314</v>
      </c>
      <c r="D19" s="627"/>
      <c r="E19" s="128" t="s">
        <v>317</v>
      </c>
      <c r="F19" s="628" t="s">
        <v>705</v>
      </c>
      <c r="G19" s="629"/>
      <c r="H19" s="629"/>
      <c r="I19" s="629"/>
      <c r="J19" s="629"/>
      <c r="K19" s="629"/>
      <c r="L19" s="629"/>
      <c r="M19" s="630"/>
      <c r="N19" s="45"/>
      <c r="O19" s="45"/>
      <c r="P19" s="29"/>
    </row>
    <row r="20" spans="2:22" ht="88.5" customHeight="1" x14ac:dyDescent="0.2">
      <c r="B20" s="27"/>
      <c r="C20" s="626" t="s">
        <v>315</v>
      </c>
      <c r="D20" s="627"/>
      <c r="E20" s="128" t="s">
        <v>317</v>
      </c>
      <c r="F20" s="628" t="s">
        <v>702</v>
      </c>
      <c r="G20" s="629"/>
      <c r="H20" s="629"/>
      <c r="I20" s="629"/>
      <c r="J20" s="629"/>
      <c r="K20" s="629"/>
      <c r="L20" s="629"/>
      <c r="M20" s="630"/>
      <c r="N20" s="45"/>
      <c r="O20" s="45"/>
      <c r="P20" s="29"/>
    </row>
    <row r="21" spans="2:22" ht="164.25" customHeight="1" x14ac:dyDescent="0.2">
      <c r="B21" s="27"/>
      <c r="C21" s="631" t="s">
        <v>316</v>
      </c>
      <c r="D21" s="632"/>
      <c r="E21" s="128" t="s">
        <v>317</v>
      </c>
      <c r="F21" s="628" t="s">
        <v>701</v>
      </c>
      <c r="G21" s="629"/>
      <c r="H21" s="629"/>
      <c r="I21" s="629"/>
      <c r="J21" s="629"/>
      <c r="K21" s="629"/>
      <c r="L21" s="629"/>
      <c r="M21" s="630"/>
      <c r="N21" s="45"/>
      <c r="O21" s="45"/>
      <c r="P21" s="29"/>
    </row>
    <row r="22" spans="2:22" ht="66" customHeight="1" thickBot="1" x14ac:dyDescent="0.25">
      <c r="B22" s="27"/>
      <c r="G22" s="44"/>
      <c r="P22" s="29"/>
    </row>
    <row r="23" spans="2:22" ht="102.75" customHeight="1" thickBot="1" x14ac:dyDescent="0.25">
      <c r="B23" s="27"/>
      <c r="C23" s="93" t="s">
        <v>50</v>
      </c>
      <c r="D23" s="1"/>
      <c r="E23" s="47" t="s">
        <v>318</v>
      </c>
      <c r="F23" s="1"/>
      <c r="G23" s="47" t="s">
        <v>319</v>
      </c>
      <c r="H23" s="1"/>
      <c r="I23" s="89" t="s">
        <v>320</v>
      </c>
      <c r="J23" s="41"/>
      <c r="K23" s="90" t="s">
        <v>321</v>
      </c>
      <c r="L23" s="41"/>
      <c r="M23" s="91" t="s">
        <v>322</v>
      </c>
      <c r="N23" s="41"/>
      <c r="O23" s="92" t="s">
        <v>323</v>
      </c>
      <c r="P23" s="29"/>
      <c r="Q23" s="32"/>
    </row>
    <row r="24" spans="2:22" ht="6.75" customHeight="1" x14ac:dyDescent="0.35">
      <c r="B24" s="27"/>
      <c r="C24" s="94"/>
      <c r="D24"/>
      <c r="E24"/>
      <c r="F24"/>
      <c r="G24"/>
      <c r="H24"/>
      <c r="I24" s="46"/>
      <c r="J24"/>
      <c r="K24" s="46"/>
      <c r="L24"/>
      <c r="M24"/>
      <c r="N24"/>
      <c r="O24"/>
      <c r="P24" s="29"/>
    </row>
    <row r="25" spans="2:22" s="189" customFormat="1" ht="162" x14ac:dyDescent="0.2">
      <c r="B25" s="180"/>
      <c r="C25" s="95" t="s">
        <v>44</v>
      </c>
      <c r="D25" s="181"/>
      <c r="E25" s="127" t="str">
        <f>+IF(Hoja1!$N$2&gt;=0.5,"Si","No")</f>
        <v>Si</v>
      </c>
      <c r="F25" s="182"/>
      <c r="G25" s="203">
        <f>+Hoja1!N2</f>
        <v>0.91666666666666663</v>
      </c>
      <c r="H25" s="182"/>
      <c r="I25" s="208" t="s">
        <v>709</v>
      </c>
      <c r="J25" s="184"/>
      <c r="K25" s="204">
        <v>0.85</v>
      </c>
      <c r="L25" s="185"/>
      <c r="M25" s="186" t="s">
        <v>700</v>
      </c>
      <c r="N25" s="184"/>
      <c r="O25" s="205">
        <f>G25-K25</f>
        <v>6.6666666666666652E-2</v>
      </c>
      <c r="P25" s="187"/>
      <c r="Q25" s="188"/>
      <c r="R25" s="188"/>
      <c r="S25" s="188"/>
      <c r="T25" s="188"/>
      <c r="U25" s="188"/>
      <c r="V25" s="188"/>
    </row>
    <row r="26" spans="2:22" s="189" customFormat="1" ht="6.75" customHeight="1" x14ac:dyDescent="0.2">
      <c r="B26" s="180"/>
      <c r="C26" s="190"/>
      <c r="D26" s="191"/>
      <c r="E26" s="191"/>
      <c r="F26" s="191"/>
      <c r="G26" s="192"/>
      <c r="H26" s="191"/>
      <c r="I26" s="193"/>
      <c r="J26" s="191"/>
      <c r="K26" s="194"/>
      <c r="L26" s="191"/>
      <c r="M26" s="191"/>
      <c r="N26" s="191"/>
      <c r="O26" s="192"/>
      <c r="P26" s="195"/>
    </row>
    <row r="27" spans="2:22" s="189" customFormat="1" ht="144" customHeight="1" x14ac:dyDescent="0.2">
      <c r="B27" s="180"/>
      <c r="C27" s="96" t="s">
        <v>324</v>
      </c>
      <c r="D27" s="181"/>
      <c r="E27" s="127" t="str">
        <f>+IF(Hoja1!$N$26&gt;=0.5,"Si","No")</f>
        <v>Si</v>
      </c>
      <c r="F27" s="191"/>
      <c r="G27" s="203">
        <f>+Hoja1!N26</f>
        <v>1</v>
      </c>
      <c r="H27" s="191"/>
      <c r="I27" s="208" t="s">
        <v>708</v>
      </c>
      <c r="J27" s="191"/>
      <c r="K27" s="204">
        <v>0.68</v>
      </c>
      <c r="L27" s="196"/>
      <c r="M27" s="186" t="s">
        <v>699</v>
      </c>
      <c r="N27" s="184"/>
      <c r="O27" s="205">
        <f>G27-K27</f>
        <v>0.31999999999999995</v>
      </c>
      <c r="P27" s="195"/>
    </row>
    <row r="28" spans="2:22" s="189" customFormat="1" ht="6.75" customHeight="1" x14ac:dyDescent="0.2">
      <c r="B28" s="180"/>
      <c r="C28" s="190"/>
      <c r="D28" s="191"/>
      <c r="E28" s="191"/>
      <c r="F28" s="191"/>
      <c r="G28" s="192"/>
      <c r="H28" s="191"/>
      <c r="I28" s="193"/>
      <c r="J28" s="191"/>
      <c r="K28" s="194"/>
      <c r="L28" s="191"/>
      <c r="M28" s="191"/>
      <c r="N28" s="191"/>
      <c r="O28" s="192"/>
      <c r="P28" s="195"/>
    </row>
    <row r="29" spans="2:22" s="189" customFormat="1" ht="212.1" customHeight="1" x14ac:dyDescent="0.2">
      <c r="B29" s="180"/>
      <c r="C29" s="97" t="s">
        <v>325</v>
      </c>
      <c r="D29" s="181"/>
      <c r="E29" s="127" t="str">
        <f>+IF(Hoja1!$N$43&gt;=0.5,"Si","No")</f>
        <v>Si</v>
      </c>
      <c r="F29" s="191"/>
      <c r="G29" s="203">
        <f>+Hoja1!N43</f>
        <v>0.91666666666666663</v>
      </c>
      <c r="H29" s="191"/>
      <c r="I29" s="208" t="s">
        <v>706</v>
      </c>
      <c r="J29" s="191"/>
      <c r="K29" s="204">
        <v>0.88</v>
      </c>
      <c r="L29" s="196"/>
      <c r="M29" s="186" t="s">
        <v>698</v>
      </c>
      <c r="N29" s="184"/>
      <c r="O29" s="205">
        <f>G29-K29</f>
        <v>3.6666666666666625E-2</v>
      </c>
      <c r="P29" s="195"/>
    </row>
    <row r="30" spans="2:22" s="189" customFormat="1" ht="6.75" customHeight="1" x14ac:dyDescent="0.2">
      <c r="B30" s="180"/>
      <c r="C30" s="190"/>
      <c r="D30" s="191"/>
      <c r="E30" s="191"/>
      <c r="F30" s="191"/>
      <c r="G30" s="192"/>
      <c r="H30" s="191"/>
      <c r="I30" s="193"/>
      <c r="J30" s="191"/>
      <c r="K30" s="194"/>
      <c r="L30" s="191"/>
      <c r="M30" s="191"/>
      <c r="N30" s="191"/>
      <c r="O30" s="192"/>
      <c r="P30" s="195"/>
    </row>
    <row r="31" spans="2:22" s="189" customFormat="1" ht="185.1" customHeight="1" x14ac:dyDescent="0.2">
      <c r="B31" s="180"/>
      <c r="C31" s="98" t="s">
        <v>326</v>
      </c>
      <c r="D31" s="181"/>
      <c r="E31" s="127" t="str">
        <f>+IF(Hoja1!$N$55&gt;=0.5,"Si","No")</f>
        <v>Si</v>
      </c>
      <c r="F31" s="191"/>
      <c r="G31" s="203">
        <f>+Hoja1!N55</f>
        <v>1</v>
      </c>
      <c r="H31" s="191"/>
      <c r="I31" s="183" t="s">
        <v>707</v>
      </c>
      <c r="J31" s="191"/>
      <c r="K31" s="204">
        <v>1</v>
      </c>
      <c r="L31" s="196"/>
      <c r="M31" s="186" t="s">
        <v>697</v>
      </c>
      <c r="N31" s="184"/>
      <c r="O31" s="205">
        <f>G31-K31</f>
        <v>0</v>
      </c>
      <c r="P31" s="195"/>
    </row>
    <row r="32" spans="2:22" s="189" customFormat="1" ht="6.75" customHeight="1" x14ac:dyDescent="0.2">
      <c r="B32" s="180"/>
      <c r="C32" s="190"/>
      <c r="D32" s="191"/>
      <c r="E32" s="191"/>
      <c r="F32" s="191"/>
      <c r="G32" s="192"/>
      <c r="H32" s="191"/>
      <c r="I32" s="193"/>
      <c r="J32" s="191"/>
      <c r="K32" s="194"/>
      <c r="L32" s="191"/>
      <c r="M32" s="191"/>
      <c r="N32" s="191"/>
      <c r="O32" s="192"/>
      <c r="P32" s="195"/>
    </row>
    <row r="33" spans="2:16" s="189" customFormat="1" ht="171.95" customHeight="1" x14ac:dyDescent="0.2">
      <c r="B33" s="180"/>
      <c r="C33" s="99" t="s">
        <v>327</v>
      </c>
      <c r="D33" s="181"/>
      <c r="E33" s="127" t="str">
        <f>+IF(Hoja1!$N$69&gt;=0.5,"Si","No")</f>
        <v>Si</v>
      </c>
      <c r="F33" s="191"/>
      <c r="G33" s="203">
        <f>+Hoja1!N69</f>
        <v>1</v>
      </c>
      <c r="H33" s="191"/>
      <c r="I33" s="209" t="s">
        <v>695</v>
      </c>
      <c r="J33" s="191"/>
      <c r="K33" s="204">
        <v>0.93</v>
      </c>
      <c r="L33" s="196"/>
      <c r="M33" s="186" t="s">
        <v>696</v>
      </c>
      <c r="N33" s="184"/>
      <c r="O33" s="205">
        <f>G33-K33</f>
        <v>6.9999999999999951E-2</v>
      </c>
      <c r="P33" s="195"/>
    </row>
    <row r="34" spans="2:16" s="189" customFormat="1" ht="15.75" x14ac:dyDescent="0.2">
      <c r="B34" s="180"/>
      <c r="C34" s="197"/>
      <c r="D34" s="197"/>
      <c r="E34" s="188"/>
      <c r="M34" s="188"/>
      <c r="N34" s="188"/>
      <c r="O34" s="188"/>
      <c r="P34" s="195"/>
    </row>
    <row r="35" spans="2:16" s="189" customFormat="1" ht="15.75" x14ac:dyDescent="0.2">
      <c r="B35" s="180"/>
      <c r="C35" s="198"/>
      <c r="D35" s="197"/>
      <c r="E35" s="188"/>
      <c r="M35" s="188"/>
      <c r="N35" s="188"/>
      <c r="O35" s="188"/>
      <c r="P35" s="195"/>
    </row>
    <row r="36" spans="2:16" s="189" customFormat="1" x14ac:dyDescent="0.2">
      <c r="B36" s="180"/>
      <c r="C36" s="199"/>
      <c r="P36" s="195"/>
    </row>
    <row r="37" spans="2:16" s="189" customFormat="1" ht="13.5" thickBot="1" x14ac:dyDescent="0.25">
      <c r="B37" s="200"/>
      <c r="C37" s="201"/>
      <c r="D37" s="201"/>
      <c r="E37" s="201"/>
      <c r="F37" s="201"/>
      <c r="G37" s="201"/>
      <c r="H37" s="201"/>
      <c r="I37" s="201"/>
      <c r="J37" s="201"/>
      <c r="K37" s="201"/>
      <c r="L37" s="201"/>
      <c r="M37" s="201"/>
      <c r="N37" s="201"/>
      <c r="O37" s="201"/>
      <c r="P37" s="202"/>
    </row>
    <row r="38" spans="2:16" ht="13.5" thickTop="1" x14ac:dyDescent="0.2"/>
  </sheetData>
  <sheetProtection password="D72A" sheet="1" objects="1" scenarios="1" formatCells="0" formatColumns="0" formatRows="0"/>
  <mergeCells count="11">
    <mergeCell ref="C20:D20"/>
    <mergeCell ref="F20:M20"/>
    <mergeCell ref="C21:D21"/>
    <mergeCell ref="F21:M21"/>
    <mergeCell ref="E3:E4"/>
    <mergeCell ref="F3:M4"/>
    <mergeCell ref="F5:M5"/>
    <mergeCell ref="I7:K7"/>
    <mergeCell ref="C17:M17"/>
    <mergeCell ref="C19:D19"/>
    <mergeCell ref="F19:M19"/>
  </mergeCells>
  <conditionalFormatting sqref="G25">
    <cfRule type="cellIs" dxfId="42" priority="43" operator="between">
      <formula>0.26</formula>
      <formula>0.5</formula>
    </cfRule>
    <cfRule type="cellIs" dxfId="41" priority="42" operator="between">
      <formula>0.51</formula>
      <formula>0.75</formula>
    </cfRule>
    <cfRule type="cellIs" dxfId="40" priority="41" operator="between">
      <formula>0.76</formula>
      <formula>1</formula>
    </cfRule>
  </conditionalFormatting>
  <conditionalFormatting sqref="G27">
    <cfRule type="cellIs" dxfId="38" priority="13" operator="between">
      <formula>0.76</formula>
      <formula>1</formula>
    </cfRule>
    <cfRule type="cellIs" dxfId="37" priority="14" operator="between">
      <formula>0.51</formula>
      <formula>0.75</formula>
    </cfRule>
    <cfRule type="cellIs" dxfId="36" priority="15" operator="between">
      <formula>0.26</formula>
      <formula>0.5</formula>
    </cfRule>
  </conditionalFormatting>
  <conditionalFormatting sqref="G29">
    <cfRule type="cellIs" dxfId="34" priority="11" operator="between">
      <formula>0.26</formula>
      <formula>0.5</formula>
    </cfRule>
    <cfRule type="cellIs" dxfId="33" priority="9" operator="between">
      <formula>0.76</formula>
      <formula>1</formula>
    </cfRule>
    <cfRule type="cellIs" dxfId="32" priority="10" operator="between">
      <formula>0.51</formula>
      <formula>0.75</formula>
    </cfRule>
  </conditionalFormatting>
  <conditionalFormatting sqref="G31">
    <cfRule type="cellIs" dxfId="30" priority="17" operator="between">
      <formula>0.76</formula>
      <formula>1</formula>
    </cfRule>
    <cfRule type="cellIs" dxfId="29" priority="18" operator="between">
      <formula>0.51</formula>
      <formula>0.75</formula>
    </cfRule>
    <cfRule type="cellIs" dxfId="28" priority="19" operator="between">
      <formula>0.26</formula>
      <formula>0.5</formula>
    </cfRule>
  </conditionalFormatting>
  <conditionalFormatting sqref="G33">
    <cfRule type="cellIs" dxfId="26" priority="21" operator="between">
      <formula>0.76</formula>
      <formula>1</formula>
    </cfRule>
    <cfRule type="cellIs" dxfId="25" priority="22" operator="between">
      <formula>0.51</formula>
      <formula>0.75</formula>
    </cfRule>
    <cfRule type="cellIs" dxfId="24" priority="23" operator="between">
      <formula>0.26</formula>
      <formula>0.5</formula>
    </cfRule>
  </conditionalFormatting>
  <conditionalFormatting sqref="K25">
    <cfRule type="cellIs" dxfId="22" priority="35" operator="between">
      <formula>0.26</formula>
      <formula>0.5</formula>
    </cfRule>
    <cfRule type="cellIs" dxfId="20" priority="34" operator="between">
      <formula>0.51</formula>
      <formula>0.75</formula>
    </cfRule>
    <cfRule type="cellIs" dxfId="19" priority="33" operator="between">
      <formula>0.76</formula>
      <formula>1</formula>
    </cfRule>
  </conditionalFormatting>
  <conditionalFormatting sqref="K27">
    <cfRule type="cellIs" dxfId="18" priority="2" operator="between">
      <formula>0.51</formula>
      <formula>0.75</formula>
    </cfRule>
    <cfRule type="cellIs" dxfId="17" priority="3" operator="between">
      <formula>0.26</formula>
      <formula>0.5</formula>
    </cfRule>
    <cfRule type="cellIs" dxfId="16" priority="1" operator="between">
      <formula>0.76</formula>
      <formula>1</formula>
    </cfRule>
  </conditionalFormatting>
  <conditionalFormatting sqref="K29">
    <cfRule type="cellIs" dxfId="14" priority="6" operator="between">
      <formula>0.51</formula>
      <formula>0.75</formula>
    </cfRule>
    <cfRule type="cellIs" dxfId="12" priority="7" operator="between">
      <formula>0.26</formula>
      <formula>0.5</formula>
    </cfRule>
    <cfRule type="cellIs" dxfId="11" priority="5" operator="between">
      <formula>0.76</formula>
      <formula>1</formula>
    </cfRule>
  </conditionalFormatting>
  <conditionalFormatting sqref="K31">
    <cfRule type="cellIs" dxfId="10" priority="29" operator="between">
      <formula>0.76</formula>
      <formula>1</formula>
    </cfRule>
    <cfRule type="cellIs" dxfId="9" priority="30" operator="between">
      <formula>0.51</formula>
      <formula>0.75</formula>
    </cfRule>
    <cfRule type="cellIs" dxfId="8" priority="31" operator="between">
      <formula>0.26</formula>
      <formula>0.5</formula>
    </cfRule>
  </conditionalFormatting>
  <conditionalFormatting sqref="K33">
    <cfRule type="cellIs" dxfId="6" priority="27" operator="between">
      <formula>0.26</formula>
      <formula>0.5</formula>
    </cfRule>
    <cfRule type="cellIs" dxfId="4" priority="25" operator="between">
      <formula>0.76</formula>
      <formula>1</formula>
    </cfRule>
    <cfRule type="cellIs" dxfId="3" priority="26" operator="between">
      <formula>0.51</formula>
      <formula>0.75</formula>
    </cfRule>
  </conditionalFormatting>
  <conditionalFormatting sqref="M7">
    <cfRule type="cellIs" priority="37" operator="between">
      <formula>0.76</formula>
      <formula>1</formula>
    </cfRule>
    <cfRule type="cellIs" dxfId="2" priority="38" operator="between">
      <formula>0.51</formula>
      <formula>0.75</formula>
    </cfRule>
    <cfRule type="cellIs" dxfId="1" priority="40" operator="between">
      <formula>0</formula>
      <formula>0.25</formula>
    </cfRule>
    <cfRule type="cellIs" dxfId="0" priority="39" operator="between">
      <formula>0.26</formula>
      <formula>0.5</formula>
    </cfRule>
  </conditionalFormatting>
  <dataValidations count="4">
    <dataValidation type="list" allowBlank="1" showInputMessage="1" showErrorMessage="1" sqref="E19" xr:uid="{3875834A-6D93-6D49-8171-9285DBA21785}">
      <formula1>"Si,No,En proceso"</formula1>
    </dataValidation>
    <dataValidation type="list" allowBlank="1" showInputMessage="1" showErrorMessage="1" sqref="N20:O20 E20:E21" xr:uid="{8EA770B4-D446-7E43-A654-70139B499082}">
      <formula1>"Si, No"</formula1>
    </dataValidation>
    <dataValidation type="list" allowBlank="1" showInputMessage="1" showErrorMessage="1" sqref="N19:O19" xr:uid="{D21255BA-E16A-8145-B6BC-003D822F5582}">
      <formula1>"Si,No"</formula1>
    </dataValidation>
    <dataValidation allowBlank="1" showInputMessage="1" showErrorMessage="1" prompt="Celda formulada, información proveniente de la pestaña de deficiencias." sqref="E23" xr:uid="{C8B0DDC9-34A7-2644-BCEC-7095595A7C4B}"/>
  </dataValidations>
  <pageMargins left="0.11811023622047245" right="0.11811023622047245" top="0.35433070866141736" bottom="0.35433070866141736" header="0.31496062992125984" footer="0.31496062992125984"/>
  <pageSetup paperSize="58" scale="6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44" operator="between" id="{2DDCDD62-A573-DB4E-89DF-57FB795A0024}">
            <xm:f>0</xm:f>
            <xm:f>'Analisis de Resultados'!$I$10</xm:f>
            <x14:dxf>
              <fill>
                <patternFill>
                  <bgColor rgb="FFFF0000"/>
                </patternFill>
              </fill>
            </x14:dxf>
          </x14:cfRule>
          <xm:sqref>G25</xm:sqref>
        </x14:conditionalFormatting>
        <x14:conditionalFormatting xmlns:xm="http://schemas.microsoft.com/office/excel/2006/main">
          <x14:cfRule type="cellIs" priority="16" operator="between" id="{8DBC8063-E640-0F4D-8490-559146716492}">
            <xm:f>0</xm:f>
            <xm:f>'Analisis de Resultados'!$I$10</xm:f>
            <x14:dxf>
              <fill>
                <patternFill>
                  <bgColor rgb="FFFF0000"/>
                </patternFill>
              </fill>
            </x14:dxf>
          </x14:cfRule>
          <xm:sqref>G27</xm:sqref>
        </x14:conditionalFormatting>
        <x14:conditionalFormatting xmlns:xm="http://schemas.microsoft.com/office/excel/2006/main">
          <x14:cfRule type="cellIs" priority="12" operator="between" id="{2D6F341D-75F8-904E-96A3-07A0B7202869}">
            <xm:f>0</xm:f>
            <xm:f>'Analisis de Resultados'!$I$10</xm:f>
            <x14:dxf>
              <fill>
                <patternFill>
                  <bgColor rgb="FFFF0000"/>
                </patternFill>
              </fill>
            </x14:dxf>
          </x14:cfRule>
          <xm:sqref>G29</xm:sqref>
        </x14:conditionalFormatting>
        <x14:conditionalFormatting xmlns:xm="http://schemas.microsoft.com/office/excel/2006/main">
          <x14:cfRule type="cellIs" priority="20" operator="between" id="{4C49B952-300F-9C4D-BCF3-1A39312BEBBB}">
            <xm:f>0</xm:f>
            <xm:f>'Analisis de Resultados'!$I$10</xm:f>
            <x14:dxf>
              <fill>
                <patternFill>
                  <bgColor rgb="FFFF0000"/>
                </patternFill>
              </fill>
            </x14:dxf>
          </x14:cfRule>
          <xm:sqref>G31</xm:sqref>
        </x14:conditionalFormatting>
        <x14:conditionalFormatting xmlns:xm="http://schemas.microsoft.com/office/excel/2006/main">
          <x14:cfRule type="cellIs" priority="24" operator="between" id="{B2B6541D-4375-E747-B0A2-1B5B81AEBDDC}">
            <xm:f>0</xm:f>
            <xm:f>'Analisis de Resultados'!$I$10</xm:f>
            <x14:dxf>
              <fill>
                <patternFill>
                  <bgColor rgb="FFFF0000"/>
                </patternFill>
              </fill>
            </x14:dxf>
          </x14:cfRule>
          <xm:sqref>G33</xm:sqref>
        </x14:conditionalFormatting>
        <x14:conditionalFormatting xmlns:xm="http://schemas.microsoft.com/office/excel/2006/main">
          <x14:cfRule type="cellIs" priority="36" operator="between" id="{7F398B68-BE2E-D649-B3E6-BA064BB65C07}">
            <xm:f>0</xm:f>
            <xm:f>'Analisis de Resultados'!$I$10</xm:f>
            <x14:dxf>
              <fill>
                <patternFill>
                  <bgColor rgb="FFFF0000"/>
                </patternFill>
              </fill>
            </x14:dxf>
          </x14:cfRule>
          <xm:sqref>K25</xm:sqref>
        </x14:conditionalFormatting>
        <x14:conditionalFormatting xmlns:xm="http://schemas.microsoft.com/office/excel/2006/main">
          <x14:cfRule type="cellIs" priority="4" operator="between" id="{D741A6D4-6908-AC4C-A9C7-4F1465C8CC05}">
            <xm:f>0</xm:f>
            <xm:f>'Analisis de Resultados'!$I$10</xm:f>
            <x14:dxf>
              <fill>
                <patternFill>
                  <bgColor rgb="FFFF0000"/>
                </patternFill>
              </fill>
            </x14:dxf>
          </x14:cfRule>
          <xm:sqref>K27</xm:sqref>
        </x14:conditionalFormatting>
        <x14:conditionalFormatting xmlns:xm="http://schemas.microsoft.com/office/excel/2006/main">
          <x14:cfRule type="cellIs" priority="8" operator="between" id="{6B7B7EBF-BAA1-7249-9E75-07F17C60E698}">
            <xm:f>0</xm:f>
            <xm:f>'Analisis de Resultados'!$I$10</xm:f>
            <x14:dxf>
              <fill>
                <patternFill>
                  <bgColor rgb="FFFF0000"/>
                </patternFill>
              </fill>
            </x14:dxf>
          </x14:cfRule>
          <xm:sqref>K29</xm:sqref>
        </x14:conditionalFormatting>
        <x14:conditionalFormatting xmlns:xm="http://schemas.microsoft.com/office/excel/2006/main">
          <x14:cfRule type="cellIs" priority="32" operator="between" id="{98DF83C3-3BAD-094A-A3E7-F94AD2B9210D}">
            <xm:f>0</xm:f>
            <xm:f>'Analisis de Resultados'!$I$10</xm:f>
            <x14:dxf>
              <fill>
                <patternFill>
                  <bgColor rgb="FFFF0000"/>
                </patternFill>
              </fill>
            </x14:dxf>
          </x14:cfRule>
          <xm:sqref>K31</xm:sqref>
        </x14:conditionalFormatting>
        <x14:conditionalFormatting xmlns:xm="http://schemas.microsoft.com/office/excel/2006/main">
          <x14:cfRule type="cellIs" priority="28" operator="between" id="{F11C0E1D-468B-694F-84D3-0F8A4FCB5E26}">
            <xm:f>0</xm:f>
            <xm:f>'Analisis de Resultados'!$I$10</xm:f>
            <x14:dxf>
              <fill>
                <patternFill>
                  <bgColor rgb="FFFF0000"/>
                </patternFill>
              </fill>
            </x14:dxf>
          </x14:cfRule>
          <xm:sqref>K33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Definiciones</vt:lpstr>
      <vt:lpstr>Ambiente de Control</vt:lpstr>
      <vt:lpstr>Evaluación de Riesgos</vt:lpstr>
      <vt:lpstr>Actividades de Control</vt:lpstr>
      <vt:lpstr>Info y Comunicación</vt:lpstr>
      <vt:lpstr>Actividades de Monitoreo</vt:lpstr>
      <vt:lpstr>Analisis de Resultados</vt:lpstr>
      <vt:lpstr>Conclusiones (2)</vt:lpstr>
      <vt:lpstr>Hoja1</vt:lpstr>
    </vt:vector>
  </TitlesOfParts>
  <Manager/>
  <Company>Ernst &amp; Young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Gomez</dc:creator>
  <cp:keywords/>
  <dc:description/>
  <cp:lastModifiedBy>MIREYA SUAREZ CONTRERAS</cp:lastModifiedBy>
  <cp:revision/>
  <cp:lastPrinted>2025-07-31T18:47:12Z</cp:lastPrinted>
  <dcterms:created xsi:type="dcterms:W3CDTF">2010-10-04T16:34:45Z</dcterms:created>
  <dcterms:modified xsi:type="dcterms:W3CDTF">2026-02-20T00:14:34Z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326522</vt:lpwstr>
  </property>
  <property fmtid="{D5CDD505-2E9C-101B-9397-08002B2CF9AE}" name="NXPowerLiteSettings" pid="3">
    <vt:lpwstr>E7000400038000</vt:lpwstr>
  </property>
  <property fmtid="{D5CDD505-2E9C-101B-9397-08002B2CF9AE}" name="NXPowerLiteVersion" pid="4">
    <vt:lpwstr>S10.9.5</vt:lpwstr>
  </property>
</Properties>
</file>