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8"/>
  <workbookPr defaultThemeVersion="124226"/>
  <mc:AlternateContent xmlns:mc="http://schemas.openxmlformats.org/markup-compatibility/2006">
    <mc:Choice Requires="x15">
      <x15ac:absPath xmlns:x15ac="http://schemas.microsoft.com/office/spreadsheetml/2010/11/ac" url="C:\Users\Anyela\OneDrive\Documentos\AND\CONTROL INTERNO\INFORMES PORMENORIZADOS\"/>
    </mc:Choice>
  </mc:AlternateContent>
  <xr:revisionPtr revIDLastSave="0" documentId="8_{DB815A85-EAFB-4C05-97CE-D42244917528}" xr6:coauthVersionLast="47" xr6:coauthVersionMax="47" xr10:uidLastSave="{00000000-0000-0000-0000-000000000000}"/>
  <bookViews>
    <workbookView xWindow="-108" yWindow="-108" windowWidth="23256" windowHeight="12576" firstSheet="3" activeTab="3" xr2:uid="{00000000-000D-0000-FFFF-FFFF00000000}"/>
  </bookViews>
  <sheets>
    <sheet name="Instructivo" sheetId="2" state="hidden" r:id="rId1"/>
    <sheet name="Estado SCI" sheetId="1" state="hidden" r:id="rId2"/>
    <sheet name="Análisis Resultados" sheetId="3" state="hidden"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<sst xmlns="http://schemas.openxmlformats.org/spreadsheetml/2006/main" count="514" uniqueCount="245">
  <si>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</si>
  <si>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</si>
  <si>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</si>
  <si>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</si>
  <si>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</si>
  <si>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</si>
  <si>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</si>
  <si>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</si>
  <si>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</si>
  <si>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</si>
  <si>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</si>
  <si>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</si>
  <si>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</si>
  <si>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</si>
  <si>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</si>
  <si>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</si>
  <si>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</si>
  <si>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</si>
  <si>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</si>
  <si>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</si>
  <si>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</si>
  <si>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</si>
  <si>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</si>
  <si>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</si>
  <si>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</si>
  <si>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</si>
  <si>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</si>
  <si>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</si>
  <si>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</si>
  <si>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</si>
  <si>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</si>
  <si>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</si>
  <si>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</si>
  <si>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</si>
  <si>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</si>
  <si>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</si>
  <si>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Si</t>
  </si>
  <si>
    <t>La Resolución de Adopción del MECI se aprobó el 01 de noviembre de 2022, desde esta fecha se han implementado y ejecutado las actividades correspondientes para su cumplmiento</t>
  </si>
  <si>
    <t>b</t>
  </si>
  <si>
    <t>Un documento tal como un código de ética, integridad u otro que formalice los estándares de conducta, los principios institucionales o los valores del servicio público</t>
  </si>
  <si>
    <t>Se cuenta con el códido de integridad de la AND, el cual es de facil acceso para su consulta por funcionarios de planta y contratistas. Su socialización se realiza a traves de capacitaciones programadas y correos electrónicos (viernes integro)</t>
  </si>
  <si>
    <t>c</t>
  </si>
  <si>
    <t>Planes, programas y proyectos de acuerdo con las normas que rigen y atendiendo con su propósito fundamental institucional (misión)</t>
  </si>
  <si>
    <t>Desde el proceso de Direccionamiento Estratégico se emiten las directrices a traves de planes, programas, políticas de MIPG. Dentro del plan de trabajo se tiene proyectado la actualización de procedimientos para el segundo semestre 2023</t>
  </si>
  <si>
    <t>d</t>
  </si>
  <si>
    <t>Una estructura organizacional formalizada (organigrama)</t>
  </si>
  <si>
    <t>En proceso</t>
  </si>
  <si>
    <t xml:space="preserve">La estructura orgánica fue actualizada en el mes de marzo, actualmente se esta realizando la formalización de la misma en materia de documentos </t>
  </si>
  <si>
    <t>e</t>
  </si>
  <si>
    <t>Un manual de funciones que describa los empleos de la entidad</t>
  </si>
  <si>
    <t>A través del proceso de Gestión de Talento Humano, se consolidan los manuales de funciones de cada uno de los cargos de planta, sn embargo, dada la actualización del organigrama, se hace necesario la creación del manual de funciones del nuevo cargo de planta</t>
  </si>
  <si>
    <t>f</t>
  </si>
  <si>
    <t>La documentación de sus procesos y procedimientos o bien una lista de actividades principales que permitan conocer el estado de su gestión</t>
  </si>
  <si>
    <t>Se cuenta con la carta descriptiva de cada proceso y los planes de acción institucional que permiten evidenciar el estado de la gestión de cada proceso de la AND, actualmente se estan actualizando cartas descriptivas y procedimientos para poder realizar seguimiento eficientemente a la gestión adelantada por la AND</t>
  </si>
  <si>
    <t>g</t>
  </si>
  <si>
    <t>Vinculación de los servidores públicos de acuerdo con el marco normativo que les rige (carrera administrativa, libre nombramiento y remoción, entre otros)</t>
  </si>
  <si>
    <t>Para la AND no es aplicable este tipo de vinculación, sin embargo, desde el proceso de Gestión del Talento humano, se cuenta con el procedimiento de selección, vinculación, gestión y desvinculación de personal, así mismo, desde el proceso de Gestión Contractual se cuenta con el procedimiento de contratación de OPS. Dando así cumplimiento al marco normativo para la contratación de personal de planta y contratistas.</t>
  </si>
  <si>
    <t>h</t>
  </si>
  <si>
    <t>Procesos de inducción, capacitación y bienestar social para sus servidores públicos, de manera directa o en asociación con otras entidades municipales</t>
  </si>
  <si>
    <t>Si bien desde el proceso de Gestión de Talento Humano se han adelantado actividades de capacitación, se evidencia que para el primer semestre 2023 no se han ejecutado la totalidad de las capacitaciones conforme a lo aprobado en el plan anual de capacitaciones</t>
  </si>
  <si>
    <t>i</t>
  </si>
  <si>
    <t>Evaluación a los servidores públicos de acuerdo con el marco normativo que le rige</t>
  </si>
  <si>
    <t xml:space="preserve">De acuerdo al regimesn de contratación de la AND, no se realizan evaluaciones a sus funcionarios, sin embargo, como buena practica de control y gestión se cuenta con el procedimiento de Evaluación de Desempeño y las evaluaciones realizadas al personal vinculado por plata, así mismo se cuenta con los informes de supervisión de actividades para contratistas. </t>
  </si>
  <si>
    <t>j</t>
  </si>
  <si>
    <t>Procesos de desvinculación de servidores de acuerdo con lo previsto en la Constitución Política y las leyes</t>
  </si>
  <si>
    <t>Desde el proceso de Gestión del Talento humano, se cuenta con el procedimiento de selección, vinculación, gestión y desvinculación de personal, así mismo, desde el proceso de Gestión Contractual se cuenta con el procedimiento de contratación de OPS. Desde estos dos frentes se gestiona la desvinculación de las dos modalidades de contratación por la AND (Planta y Contratistas)</t>
  </si>
  <si>
    <t>k</t>
  </si>
  <si>
    <t>Mecanismos de rendición de cuentas a la ciudadanía</t>
  </si>
  <si>
    <t>Se cuenta con el equipo lider de rendición de cuentas, conformado por gestión de grupos de interés, comunicaciones y planeación. Así mismo, con la documentación correspondiente como careacterización, encuestas y medición de resultados</t>
  </si>
  <si>
    <t>l</t>
  </si>
  <si>
    <t>Presentación oportuna de sus informes de gestión a las autoridades competentes</t>
  </si>
  <si>
    <t>La AND cumple con el reporte de los informes de gestión ante los entes de control corrspondientes así como la publicación de los mismos en la sede electrónica e intranet.</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</si>
  <si>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</si>
  <si>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</si>
  <si>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</si>
  <si>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</si>
  <si>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Se cuenta con las matrices de riesgos de gestión, en las cuales se identifican los contextos que pueden generar eventos negativos en la gestión.</t>
  </si>
  <si>
    <t>Identificación de aquellos problemas o aspectos que pueden afectar el cumplimiento de los planes de la entidad y en general su gestión institucional (riesgos)</t>
  </si>
  <si>
    <t>Se cuenta con la identificación de riesgos por procesos, de esta manera, se logra la identificación de amenazas que afectan los planes y objetivos de la AND y su gestión por procesos. A traves del plan de capacitaciones, se proyectan las sensibilizaciones correspondientes a líderes de procesos y gerentes de proyectos en materia de riesgos</t>
  </si>
  <si>
    <t>Identificación  de los riesgos relacionados con posibles actos de corrupción en el ejercicio de sus funciones</t>
  </si>
  <si>
    <t>Se cuenta con la matriz de riesgos de corrupción y el Plan de Acción Anticorrupción y de Atención al Ciudadano PAAC. Desde el proceso de seguimiento, medición evaluación y control se realiza el seguimiento correspondiente al cumplimiento de actividades, controles y planes de acción relacionados con actos de corrupción.</t>
  </si>
  <si>
    <t>Si su capacidad e infraestructura lo permite, identificación de riesgos asociados a las tecnologías de la información y las comunicaciones</t>
  </si>
  <si>
    <t>Las matrices de riesgos digital, se encuentra en proceso de actualización por procesos para ser articulada con la matriz de riesgos de gestión.</t>
  </si>
  <si>
    <t>3</t>
  </si>
  <si>
    <t>Los líderes de los programas, proyectos, o procesos de la entidad  junto con sus equipos de trabajo:</t>
  </si>
  <si>
    <t>Hacen seguimiento a los problemas (riesgos)  que pueden afectar el cumplimiento de sus procesos, programas o proyectos a cargo</t>
  </si>
  <si>
    <t>Se realiza seguimiento periodico a los mapas de riesgos y plan de acción institucional, los resultados son presentados en el comite de Gestión y Desempeño y se toman los correctivos correspondientes.</t>
  </si>
  <si>
    <t>Informan de manera periódica a quien corresponda sobre el desempeño de las actividades de gestión de riesgos</t>
  </si>
  <si>
    <t>Los resultados de los seguimientos realizados a los riesgos por parte de los equipos de planeación y control interno son presentados ante los comités de Gestión y Desempeño y Control Interno respectivamente.</t>
  </si>
  <si>
    <t>Identifican deficiencias en las maneras de  controlar los riesgos o problemas en sus procesos, programas o proyectos, y propone los ajustes necesarios</t>
  </si>
  <si>
    <t>Dentro de las actualizaciones de los mapas de riesgos, se llevó a cabo la identificaión de deficiencias en los controles, así mismo, en el seguimeinto realiazado desde la tercera línea de defensa, se evalúa la efectividad de controles y planes de acción definidos.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</si>
  <si>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</si>
  <si>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</si>
  <si>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</si>
  <si>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A traves de los diferentes seguimientos realizados por el equipo de planeación se comunica a los líderes de procesos las desviaciones encontradas y se proponen los ajustes correspondientes</t>
  </si>
  <si>
    <t>Cada líder del equipo autónomamente toma las acciones para solucionarlos.</t>
  </si>
  <si>
    <t>Desde la política y guía de gestión de riesgos se dictan los lineamientos necesarios para que cada líder de proceso tome las acciones correspondientes o reporte la situación ante el proceso encargado de la gestión de riesgos de la Agencia.</t>
  </si>
  <si>
    <t>Solamente hasta que un organismo de control actúa se definen acciones de mejora.</t>
  </si>
  <si>
    <t>No</t>
  </si>
  <si>
    <t>Las acciones de mejora se identifican desde el desarrollo de las actividades diarias y los diferentes seguimientos realizados. Esto en pro de evitar que se identifiquen acciones de mejora en el ejercicio realizado por entes de control externos a la Agencia.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</si>
  <si>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</si>
  <si>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</si>
  <si>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</si>
  <si>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</si>
  <si>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Desde la política y guía de gestión de riesgos se dictan los lineamientos necesarios para el tratamiento de cada riesgo, así mismo, desde los mapas de riesgo se establecen los planes de acción para mitigar los riesgos tanto de gestión como de corrupción</t>
  </si>
  <si>
    <t>Mecanismos de verificación de si se están o no mitigando los riesgos, o en su defecto, elaboración de planes de contingencia para subsanar sus consecuencias</t>
  </si>
  <si>
    <t>Los mecanismos para esta identificación son los seguimientos realizados por el equipo de trabajo de planeación y por el equipo de control interno, desde ambos frentes se valida la efectividad de controles y planes de acción definidos para cada riesgo.</t>
  </si>
  <si>
    <t>Planes, acciones o estrategias que permitan subsanar las consecuencias de la materialización de los riesgos, cuando se presentan</t>
  </si>
  <si>
    <t>Si bien dentro de los mapas de riesgos se encuentran identificados riesgos en nivel alto, no se ha registrado materialización de ningun riesgo. Sin embargo, los planes de acciones definidos, buscan entre otras cosas subsanar las desviaciones presentadas en los procesos o proyectos en relación a los riesgos identificados.</t>
  </si>
  <si>
    <t>Un documento que consolide  los riesgos  y el tratamiento que se les da, incluyendo aquellos que conllevan posibles actos de corrupción y si la capacidad e infraestructura lo permite, los asociados con las tecnologías de la información y las comunicaciones</t>
  </si>
  <si>
    <t>Se cuenta con la matriz de riesgos de gestión y seguridad digital, así mismo, una matriz para los riesgos de corrupción. Estas matrices se encuentran por procesos y son de consulta interna por todo el personal.</t>
  </si>
  <si>
    <t>Un plan anticorrupción y de servicio al ciudadano con los temas que le aplican, publicado en algún medio para conocimiento de la ciudadanía</t>
  </si>
  <si>
    <t>Se cuenta con el plan anticorrupción publicado en la intranet y página web de la Agencia por cada una de las vigencias. Se realiza seguimiento de acuerdo a la periodicidad de ejecución de las diferentes actividades definidas.</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</si>
  <si>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</si>
  <si>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</si>
  <si>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</si>
  <si>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</si>
  <si>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Desde la política de Comuncaciones, se identifican los responsables de la información institucional</t>
  </si>
  <si>
    <t>Canales de comunicación con los ciudadanos</t>
  </si>
  <si>
    <t>Se cuenta con los canales de comunicación a los ciudadanos a traves de la sede electrónica, sede física, correo electrónico y formularios PQRSD.</t>
  </si>
  <si>
    <t>Canales de comunicación o mecanismos de reporte de información a otros organismos gubernamentales o de control</t>
  </si>
  <si>
    <t>En la sede electrónica se relacionan los entes de vigilancia y control para la AND</t>
  </si>
  <si>
    <t xml:space="preserve">Lineamientos para dar tratamiento a la información de carácter reservado </t>
  </si>
  <si>
    <t>Se cuenta con la pólitica de protección de datos personales debidamente publicada en la sede electrónica y en la cual se relacionan los lineamientos para el tratamiento de este tipo de información. se realiza socialización de la misma a todo el personal de la AND</t>
  </si>
  <si>
    <t>Identificación de información que produce en el marco de su gestión (Para los ciudadanos, organismos de control, organismos gubernamentales, entre otros)</t>
  </si>
  <si>
    <t xml:space="preserve">A través de los informes de gestión, se evidencia las acciones y actividades desarroladas en el marco de la gestión de la AND, así mismo, a traves de la rendición de cuentas. Esta información es publicada en la sede electrónica y la intranet de la Agencia y socializada a los grupos de interés </t>
  </si>
  <si>
    <t>Identificación de información necesaria para la operación de la entidad (normograma, presupuesto, talento humano, infraestructura física y tecnológica)</t>
  </si>
  <si>
    <t>A través de la sede electrónica se encuentra el menú participa en el cual se lleva a cabo todo lo correspondiente a planeación y presupuesto participativo, en tanto a los demás temas se cuenta con el menú de participación ciudadana y acceso a la información. Cada uno de estos items es gestionado por los diferentes procesos responsables de la información correspondiente.</t>
  </si>
  <si>
    <t>Si su capacidad e infraestructura lo permite, tecnologías de la información y las comunicaciones que soporten estos procesos</t>
  </si>
  <si>
    <t>Se cuenta con los canales de comunicación internos y externos para la publicación de la información, así mismo, se hace uso de repositorios internos administrados a través de la herramienta de SharePoint.</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</si>
  <si>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</si>
  <si>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</si>
  <si>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</si>
  <si>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</si>
  <si>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cuenta con los indicadores correspondientes por procesos, así como el plan de acción institucional.</t>
  </si>
  <si>
    <t>Algún mecanismo para monitorear o supervisar el sistema de control interno institucional, ya sea por parte del representante legal, o del área de control interno (si la entidad cuenta con ella), o bien a través del Comité departamental o municipal de Auditoría.</t>
  </si>
  <si>
    <t>Se gestiona a través del comité institucional de coordinación de control interno, por la naturaleza jurídica de la Agencia no se participa en comité departamental o municipal.</t>
  </si>
  <si>
    <t>Medidas correctivas en caso de detectarse deficiencias en los ejercicios de evaluación, seguimiento o auditoría</t>
  </si>
  <si>
    <t>A través del comité institucional de coordinación de control interno, se lleva a cabo la socialización de deficiencias y se proponen las medidas correctivas que permitan el fortalecimiento del sistema de Control Interno. Así mismo, en el procedimiento de revisión por la Dirección se presentan las desviaciones presentadas.</t>
  </si>
  <si>
    <t>Seguimiento a los planes de mejoramiento suscritos con instancias de control internas o externas</t>
  </si>
  <si>
    <t>Se realiza seguimiento periódico a los planes de mejoramiento producto de evaluación de riesgos y auditorías internas y externas y revision por la Dirección. En tanto a los planes de mejoramiento con entes de control, se lleva a cabo el seguimiento y reporte ante el mismo ente dentro de los plazos establecidos.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</si>
  <si>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</si>
  <si>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</si>
  <si>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</si>
  <si>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Por la naturaleza jurídica de la Agenica no se participa en estos comités. Sin embargo, se cuenta con la participación en capacitaciones dadas por el DAFP en esta materia.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</si>
  <si>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</si>
  <si>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</si>
  <si>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</si>
  <si>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Desde el seguimiento realizado a los riesgos, se proponen las recomendaciones y oportunidades de mejora correspondientes las cuales son presentadas ante el comité de control interno y de gestión y desempeño</t>
  </si>
  <si>
    <t>Controlar los puntos críticos en los procesos.</t>
  </si>
  <si>
    <t>Esta gestión se realiza a través de los mapas de riesgos y del plan de acción institucional en los cuales se registran las actividades enfocadas a controlar los puntos críticos de cada proceso.</t>
  </si>
  <si>
    <t>Diseñar acciones adecuadas para controlar los problemas que afectan el cumplimiento de las metas y objetivos institucionales (riesgos).</t>
  </si>
  <si>
    <t>Desde la Política y Guía de riesgos se dan los lineamientos para controlar dichos problemas. Así mismo, desde los comités de control interno y de Gestión y Desempeño se monitorean los resultados.</t>
  </si>
  <si>
    <t>Ejecutar las acciones de acuerdo a como se diseñaron previamente.</t>
  </si>
  <si>
    <t>Se lleva a cabo el seguimiento al plan de acción institucional, al PAAC y a los mapas de riesgos, de esta manera se ha logrado un mayor cumplimiento a las acciones propuestas.</t>
  </si>
  <si>
    <t>No se gestionan los problemas que afectan el cumplimiento de las funciones y objetivos institucionales(riesgos).</t>
  </si>
  <si>
    <t>Se lleva a cabo la gestión de las deficiencias identificadas, desde los comités directios, de gestión y desempeño y de control interno se imparten los lineamientos y posibles soluciones.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</si>
  <si>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</si>
  <si>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</si>
  <si>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</si>
  <si>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</si>
  <si>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</si>
  <si>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</si>
  <si>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</si>
  <si>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</si>
  <si>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</si>
  <si>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</si>
  <si>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</si>
  <si>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</si>
  <si>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Corporación Agencia Nacional de Gobierno Digital</t>
  </si>
  <si>
    <t>Periodo Evaluado:</t>
  </si>
  <si>
    <t>Enero - Junio 2023</t>
  </si>
  <si>
    <t>Estado del sistema de Control Interno de la entidad</t>
  </si>
  <si>
    <t>Conclusión general sobre la evaluación del Sistema de Control Interno</t>
  </si>
  <si>
    <t>¿Están todos los componentes operando juntos y de manera integrada? (Si / en proceso / No) (Justifique su respuesta):</t>
  </si>
  <si>
    <t>Se cuenta con la alineación de las políticas de MIPG y MECI para la gestión institucional, de esta manera se ha logrado una sinergía en los diferentes procesos que buscan el cumplimiento del plan estratégico de la entidad y la mejora continua en la institución.</t>
  </si>
  <si>
    <t>¿Es efectivo el sistema de control interno para los objetivos evaluados? (Si/No) (Justifique su respuesta):</t>
  </si>
  <si>
    <t>Para el periodo evaluado se identificaron varias oportunidades de mejora en materia de ambiente de control, algunas de las actividades fueron actualizadas pero no se ha formalizado la pubicación en los diferentes canales de comunicación de la Agencia.
Desde los diferentes comités se lleva a cabo seguimiento y medidas preventivas y correctivas de las posibles desviaciones que se puedan presentar en el desarrollo de las actividades de la Agencia.</t>
  </si>
  <si>
    <t>La entidad cuenta dentro de su Sistema de Control Interno, con una institucionalidad (Líneas de defensa)  que le permita la toma de decisiones frente al control (Si/No) (Justifique su respuesta):</t>
  </si>
  <si>
    <t>Las lineas de defensa se siguen fortaleciendo a traves de socializaciones a líderes de procesos, gerentes de proyectos, directivos y cargos o roles encargados de la ejecución de controles.
Desde la política y guía para la gestión de riesgos se dan los lineamientos para la ejecución de las líneas de defensa.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</si>
  <si>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</si>
  <si>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</si>
  <si>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</si>
  <si>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</si>
  <si>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r>
      <rPr>
        <b/>
        <sz val="12"/>
        <color rgb="FF000000"/>
        <rFont val="Arial"/>
      </rPr>
      <t xml:space="preserve">Debilidades: 
</t>
    </r>
    <r>
      <rPr>
        <sz val="12"/>
        <color rgb="FF000000"/>
        <rFont val="Arial"/>
      </rPr>
      <t xml:space="preserve">- Los temas como organigrama, plan anual de capacitaciones, manual de funciones de nuevos cargos, se encuentran desactualzados en los canales de comunicación
</t>
    </r>
    <r>
      <rPr>
        <b/>
        <sz val="12"/>
        <color rgb="FF000000"/>
        <rFont val="Arial"/>
      </rPr>
      <t xml:space="preserve">Fortalezas
</t>
    </r>
    <r>
      <rPr>
        <sz val="12"/>
        <color rgb="FF000000"/>
        <rFont val="Arial"/>
      </rPr>
      <t>- Se cuenta con la adopción e implementación de la resolución del MECI
- Se cuenta con la documentación e información de la gestión adelantada por cada proceso.</t>
    </r>
  </si>
  <si>
    <t>EVALUCION DEL RIESGO</t>
  </si>
  <si>
    <r>
      <rPr>
        <b/>
        <sz val="12"/>
        <color rgb="FF000000"/>
        <rFont val="Arial"/>
      </rPr>
      <t xml:space="preserve">Debilidades: 
</t>
    </r>
    <r>
      <rPr>
        <sz val="12"/>
        <color rgb="FF000000"/>
        <rFont val="Arial"/>
      </rPr>
      <t xml:space="preserve">- Se identificó que para el primer semestre de 2023 no se realizó el seguimiento por parte de la segunda línea de defensa a los mapas de riesgos de gestión.
</t>
    </r>
    <r>
      <rPr>
        <b/>
        <sz val="12"/>
        <color rgb="FF000000"/>
        <rFont val="Arial"/>
      </rPr>
      <t xml:space="preserve">Fortalezas
</t>
    </r>
    <r>
      <rPr>
        <sz val="12"/>
        <color rgb="FF000000"/>
        <rFont val="Arial"/>
      </rPr>
      <t>- Se procedió con la aopción de los lineamientos de gestión de riesgos en la ejecución de proyectos</t>
    </r>
  </si>
  <si>
    <t>ACTIVIDADES DEL CONTROL</t>
  </si>
  <si>
    <r>
      <rPr>
        <b/>
        <sz val="12"/>
        <color rgb="FF000000"/>
        <rFont val="Arial"/>
      </rPr>
      <t xml:space="preserve">Debilidades: 
</t>
    </r>
    <r>
      <rPr>
        <sz val="12"/>
        <color rgb="FF000000"/>
        <rFont val="Arial"/>
      </rPr>
      <t xml:space="preserve">- Fortalecer la sensibilización en relación al modelo de las tres líneas de defensa, especialmente en aquellas actividades de autocontrol (primera línea de defensa)
</t>
    </r>
    <r>
      <rPr>
        <b/>
        <sz val="12"/>
        <color rgb="FF000000"/>
        <rFont val="Arial"/>
      </rPr>
      <t xml:space="preserve">Fortalezas
</t>
    </r>
    <r>
      <rPr>
        <sz val="12"/>
        <color rgb="FF000000"/>
        <rFont val="Arial"/>
      </rPr>
      <t>- Documentación actualizada y publicada en materia de planes anticorrupción
- Matrices por procesos y consolidada de la gestión de riesgos de seguridad digital, corrupción y gestión</t>
    </r>
  </si>
  <si>
    <r>
      <rPr>
        <b/>
        <sz val="12"/>
        <color rgb="FF000000"/>
        <rFont val="Arial"/>
      </rPr>
      <t xml:space="preserve">Debilidades: 
</t>
    </r>
    <r>
      <rPr>
        <sz val="12"/>
        <color rgb="FF000000"/>
        <rFont val="Arial"/>
      </rPr>
      <t xml:space="preserve">- Adopción de los lineamientos de la estrategia de comunicaciones e imagen insttucional especialmente para la publicación de información interna
</t>
    </r>
    <r>
      <rPr>
        <b/>
        <sz val="12"/>
        <color rgb="FF000000"/>
        <rFont val="Arial"/>
      </rPr>
      <t xml:space="preserve">Fortalezas
</t>
    </r>
    <r>
      <rPr>
        <sz val="12"/>
        <color rgb="FF000000"/>
        <rFont val="Arial"/>
      </rPr>
      <t xml:space="preserve">- Implementación de la estrategia de comunicaciones y plan de comunicaciones
- Definición de cronograma y actividades para la gestión de partes interesadas y grupos de interes
- Se fortaleció el procedimeinto para la rendición de cuentas </t>
    </r>
  </si>
  <si>
    <t xml:space="preserve">ACTIVIDADES DE MONITOREO </t>
  </si>
  <si>
    <r>
      <rPr>
        <b/>
        <sz val="12"/>
        <color rgb="FF000000"/>
        <rFont val="Arial"/>
      </rPr>
      <t xml:space="preserve">Debilidades: 
</t>
    </r>
    <r>
      <rPr>
        <sz val="12"/>
        <color rgb="FF000000"/>
        <rFont val="Arial"/>
      </rPr>
      <t xml:space="preserve">- Fomentar la participación de los diferentes procesos en las actividades de monitoreo desde la primera linea de defensa.
</t>
    </r>
    <r>
      <rPr>
        <b/>
        <sz val="12"/>
        <color rgb="FF000000"/>
        <rFont val="Arial"/>
      </rPr>
      <t xml:space="preserve">Fortalezas: 
</t>
    </r>
    <r>
      <rPr>
        <sz val="12"/>
        <color rgb="FF000000"/>
        <rFont val="Arial"/>
      </rPr>
      <t xml:space="preserve">- Seguimiento y evaluación de la implementación de los planes de mejoramiento producto de las auditorías internas y externas
- Seguimeinto al trámite de PQRSD y Austeridad del gasto desde el proceso de Seguimeinto, Medición, Evaluación y Control
- Actividades de seguimiento períodico a la gestión de riesgos
- Cumplimiento en el reporte de informes de ley propuestos
</t>
    </r>
  </si>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</sst>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2">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
      <sz val="12"/>
      <color rgb="FF000000"/>
      <name val="Arial"/>
    </font>
    <font>
      <b/>
      <sz val="12"/>
      <color rgb="FF000000"/>
      <name val="Arial"/>
    </font>
    <font>
      <sz val="12"/>
      <color rgb="FF000000"/>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16">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7" fillId="4" borderId="0" xfId="0" applyFont="1" applyFill="1" applyAlignment="1">
      <alignment horizontal="center"/>
    </xf>
    <xf numFmtId="0" fontId="0" fillId="4" borderId="21"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30"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1"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4" xfId="0" applyFill="1" applyBorder="1"/>
    <xf numFmtId="0" fontId="0" fillId="4" borderId="35" xfId="0" applyFill="1" applyBorder="1"/>
    <xf numFmtId="0" fontId="0" fillId="4" borderId="36"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xf numFmtId="0" fontId="26" fillId="4" borderId="59" xfId="3" applyFont="1" applyFill="1" applyBorder="1" applyAlignment="1">
      <alignment vertical="top" wrapText="1"/>
    </xf>
    <xf numFmtId="0" fontId="26" fillId="4" borderId="0" xfId="3" applyFont="1" applyFill="1" applyAlignment="1">
      <alignment vertical="top" wrapText="1"/>
    </xf>
    <xf numFmtId="0" fontId="26" fillId="4" borderId="60" xfId="3" applyFont="1" applyFill="1" applyBorder="1" applyAlignment="1">
      <alignment vertical="top" wrapText="1"/>
    </xf>
    <xf numFmtId="0" fontId="26" fillId="4" borderId="59" xfId="3" applyFont="1" applyFill="1" applyBorder="1" applyAlignment="1">
      <alignment horizontal="left" vertical="top"/>
    </xf>
    <xf numFmtId="0" fontId="26" fillId="4" borderId="60" xfId="3" applyFont="1" applyFill="1" applyBorder="1" applyAlignment="1">
      <alignment horizontal="left" vertical="top"/>
    </xf>
    <xf numFmtId="0" fontId="26" fillId="4" borderId="59" xfId="3" applyFont="1" applyFill="1" applyBorder="1"/>
    <xf numFmtId="0" fontId="34" fillId="4" borderId="0" xfId="4" applyFont="1" applyFill="1" applyAlignment="1">
      <alignment horizontal="left" vertical="top" wrapText="1" readingOrder="1"/>
    </xf>
    <xf numFmtId="0" fontId="26" fillId="4" borderId="60" xfId="3" applyFont="1" applyFill="1" applyBorder="1"/>
    <xf numFmtId="0" fontId="26" fillId="4" borderId="72" xfId="3" applyFont="1" applyFill="1" applyBorder="1"/>
    <xf numFmtId="0" fontId="26" fillId="4" borderId="73" xfId="3" applyFont="1" applyFill="1" applyBorder="1"/>
    <xf numFmtId="0" fontId="26" fillId="4" borderId="74" xfId="3" applyFont="1" applyFill="1" applyBorder="1"/>
    <xf numFmtId="0" fontId="34"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3" quotePrefix="1" applyFont="1" applyFill="1" applyAlignment="1">
      <alignment horizontal="left" vertical="center" wrapText="1"/>
    </xf>
    <xf numFmtId="0" fontId="32" fillId="4" borderId="0" xfId="3" applyFont="1" applyFill="1" applyAlignment="1">
      <alignment horizontal="left" vertical="center" wrapText="1"/>
    </xf>
    <xf numFmtId="0" fontId="26" fillId="4" borderId="0" xfId="3" applyFont="1" applyFill="1" applyAlignment="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Border="1" applyAlignment="1">
      <alignment horizontal="center" vertical="center"/>
    </xf>
    <xf numFmtId="0" fontId="53" fillId="0" borderId="0" xfId="0" applyFont="1" applyAlignment="1">
      <alignment horizontal="center"/>
    </xf>
    <xf numFmtId="0" fontId="52" fillId="12" borderId="31" xfId="0" applyFont="1" applyFill="1" applyBorder="1" applyAlignment="1">
      <alignment horizontal="center" vertical="center" wrapText="1"/>
    </xf>
    <xf numFmtId="0" fontId="42" fillId="0" borderId="0" xfId="0" applyFont="1" applyAlignment="1">
      <alignment horizontal="center" vertical="center" wrapText="1"/>
    </xf>
    <xf numFmtId="0" fontId="25" fillId="4" borderId="0" xfId="2" applyFont="1" applyFill="1" applyAlignment="1">
      <alignment vertical="center" wrapText="1"/>
    </xf>
    <xf numFmtId="0" fontId="35" fillId="4" borderId="0" xfId="2" applyFont="1" applyFill="1" applyAlignment="1">
      <alignment vertical="center" wrapText="1"/>
    </xf>
    <xf numFmtId="0" fontId="36" fillId="0" borderId="0" xfId="0"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19" fillId="2" borderId="82" xfId="2" applyFont="1" applyFill="1" applyBorder="1" applyAlignment="1">
      <alignment horizontal="center" vertical="center"/>
    </xf>
    <xf numFmtId="0" fontId="19" fillId="2" borderId="82"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Border="1" applyAlignment="1" applyProtection="1">
      <alignment vertical="center" wrapText="1"/>
      <protection hidden="1"/>
    </xf>
    <xf numFmtId="0" fontId="40" fillId="0" borderId="3" xfId="0" applyFont="1" applyBorder="1" applyAlignment="1" applyProtection="1">
      <alignment vertical="center" wrapText="1"/>
      <protection hidden="1"/>
    </xf>
    <xf numFmtId="0" fontId="40" fillId="0" borderId="7" xfId="0" applyFont="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61" fillId="0" borderId="3" xfId="0" applyFont="1" applyBorder="1" applyAlignment="1">
      <alignment horizontal="left" vertical="center" wrapText="1"/>
    </xf>
    <xf numFmtId="0" fontId="30" fillId="0" borderId="58" xfId="3" applyFont="1" applyBorder="1" applyAlignment="1">
      <alignment horizontal="center" vertical="center" wrapText="1"/>
    </xf>
    <xf numFmtId="0" fontId="30" fillId="0" borderId="55" xfId="3" applyFont="1" applyBorder="1" applyAlignment="1">
      <alignment horizontal="center" vertical="center" wrapText="1"/>
    </xf>
    <xf numFmtId="0" fontId="30" fillId="0" borderId="8" xfId="3" applyFont="1" applyBorder="1" applyAlignment="1">
      <alignment horizontal="center" vertical="center" wrapText="1"/>
    </xf>
    <xf numFmtId="0" fontId="26" fillId="0" borderId="59" xfId="3" quotePrefix="1" applyFont="1" applyBorder="1" applyAlignment="1">
      <alignment horizontal="left" vertical="center" wrapText="1"/>
    </xf>
    <xf numFmtId="0" fontId="26" fillId="0" borderId="0" xfId="3" quotePrefix="1" applyFont="1" applyAlignment="1">
      <alignment horizontal="left" vertical="center" wrapText="1"/>
    </xf>
    <xf numFmtId="0" fontId="26" fillId="0" borderId="60" xfId="3" quotePrefix="1" applyFont="1" applyBorder="1" applyAlignment="1">
      <alignment horizontal="left" vertical="center" wrapText="1"/>
    </xf>
    <xf numFmtId="0" fontId="31" fillId="4" borderId="59" xfId="3" quotePrefix="1" applyFont="1" applyFill="1" applyBorder="1" applyAlignment="1">
      <alignment horizontal="left" vertical="top" wrapText="1"/>
    </xf>
    <xf numFmtId="0" fontId="25" fillId="4" borderId="0" xfId="3" quotePrefix="1" applyFont="1" applyFill="1" applyAlignment="1">
      <alignment horizontal="left" vertical="top" wrapText="1"/>
    </xf>
    <xf numFmtId="0" fontId="25" fillId="4" borderId="60" xfId="3" quotePrefix="1" applyFont="1" applyFill="1" applyBorder="1" applyAlignment="1">
      <alignment horizontal="left" vertical="top" wrapText="1"/>
    </xf>
    <xf numFmtId="0" fontId="26"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34" fillId="16" borderId="61" xfId="4" applyFont="1" applyFill="1" applyBorder="1" applyAlignment="1">
      <alignment horizontal="center" vertical="center" wrapText="1"/>
    </xf>
    <xf numFmtId="0" fontId="34" fillId="16" borderId="62" xfId="4" applyFont="1" applyFill="1" applyBorder="1" applyAlignment="1">
      <alignment horizontal="center" vertical="center" wrapText="1"/>
    </xf>
    <xf numFmtId="0" fontId="34" fillId="16" borderId="63" xfId="3" applyFont="1" applyFill="1" applyBorder="1" applyAlignment="1">
      <alignment horizontal="center" vertical="center"/>
    </xf>
    <xf numFmtId="0" fontId="34" fillId="16" borderId="64" xfId="3" applyFont="1" applyFill="1" applyBorder="1" applyAlignment="1">
      <alignment horizontal="center" vertical="center"/>
    </xf>
    <xf numFmtId="0" fontId="34" fillId="4" borderId="75" xfId="4" applyFont="1" applyFill="1" applyBorder="1" applyAlignment="1">
      <alignment horizontal="left" vertical="center" wrapText="1" readingOrder="1"/>
    </xf>
    <xf numFmtId="0" fontId="34" fillId="4" borderId="76" xfId="4" applyFont="1" applyFill="1" applyBorder="1" applyAlignment="1">
      <alignment horizontal="left" vertical="center" wrapText="1" readingOrder="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4" fillId="4" borderId="67" xfId="0" applyFont="1" applyFill="1" applyBorder="1" applyAlignment="1">
      <alignment horizontal="left" vertical="center" wrapText="1"/>
    </xf>
    <xf numFmtId="0" fontId="34" fillId="4" borderId="68" xfId="0" applyFont="1" applyFill="1" applyBorder="1" applyAlignment="1">
      <alignment horizontal="left" vertical="center" wrapText="1"/>
    </xf>
    <xf numFmtId="0" fontId="35" fillId="0" borderId="69" xfId="3" applyFont="1" applyBorder="1" applyAlignment="1">
      <alignment horizontal="left" vertical="center" wrapText="1"/>
    </xf>
    <xf numFmtId="0" fontId="35" fillId="0" borderId="70" xfId="3" applyFont="1" applyBorder="1" applyAlignment="1">
      <alignment horizontal="left" vertical="center" wrapText="1"/>
    </xf>
    <xf numFmtId="0" fontId="35" fillId="0" borderId="69" xfId="3" applyFont="1" applyBorder="1" applyAlignment="1">
      <alignment horizontal="left" vertical="top" wrapText="1"/>
    </xf>
    <xf numFmtId="0" fontId="35" fillId="0" borderId="70" xfId="3" applyFont="1" applyBorder="1" applyAlignment="1">
      <alignment horizontal="left" vertical="top" wrapText="1"/>
    </xf>
    <xf numFmtId="0" fontId="26" fillId="4" borderId="59" xfId="3" applyFont="1" applyFill="1" applyBorder="1" applyAlignment="1">
      <alignment horizontal="left" vertical="top" wrapText="1"/>
    </xf>
    <xf numFmtId="0" fontId="26" fillId="4" borderId="0" xfId="3" applyFont="1" applyFill="1" applyAlignment="1">
      <alignment horizontal="left" vertical="top" wrapText="1"/>
    </xf>
    <xf numFmtId="0" fontId="26" fillId="4" borderId="60" xfId="3" applyFont="1" applyFill="1" applyBorder="1" applyAlignment="1">
      <alignment horizontal="left" vertical="top" wrapText="1"/>
    </xf>
    <xf numFmtId="0" fontId="34" fillId="4" borderId="77" xfId="0" applyFont="1" applyFill="1" applyBorder="1" applyAlignment="1">
      <alignment horizontal="left" vertical="center" wrapText="1"/>
    </xf>
    <xf numFmtId="0" fontId="34" fillId="4" borderId="78" xfId="0" applyFont="1" applyFill="1" applyBorder="1" applyAlignment="1">
      <alignment horizontal="left"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7" borderId="50" xfId="2" applyFont="1" applyFill="1" applyBorder="1" applyAlignment="1">
      <alignment horizontal="center" vertical="center"/>
    </xf>
    <xf numFmtId="0" fontId="25" fillId="7" borderId="51" xfId="2" applyFont="1" applyFill="1" applyBorder="1" applyAlignment="1">
      <alignment horizontal="center" vertical="center"/>
    </xf>
    <xf numFmtId="0" fontId="26" fillId="0" borderId="56" xfId="2" applyFont="1" applyBorder="1" applyAlignment="1">
      <alignment horizontal="justify" vertical="center" wrapText="1"/>
    </xf>
    <xf numFmtId="0" fontId="26" fillId="0" borderId="57" xfId="2" applyFont="1" applyBorder="1" applyAlignment="1">
      <alignment horizontal="justify" vertical="center" wrapText="1"/>
    </xf>
    <xf numFmtId="0" fontId="25" fillId="8" borderId="52" xfId="2" applyFont="1" applyFill="1" applyBorder="1" applyAlignment="1">
      <alignment horizontal="center" vertical="center" wrapText="1"/>
    </xf>
    <xf numFmtId="0" fontId="25" fillId="8" borderId="53" xfId="2" applyFont="1" applyFill="1" applyBorder="1" applyAlignment="1">
      <alignment horizontal="center" vertical="center"/>
    </xf>
    <xf numFmtId="0" fontId="26" fillId="0" borderId="53" xfId="2" applyFont="1" applyBorder="1" applyAlignment="1">
      <alignment horizontal="justify" vertical="center" wrapText="1"/>
    </xf>
    <xf numFmtId="0" fontId="26" fillId="0" borderId="54" xfId="2" applyFont="1" applyBorder="1" applyAlignment="1">
      <alignment horizontal="justify" vertical="center" wrapText="1"/>
    </xf>
    <xf numFmtId="0" fontId="37" fillId="4" borderId="71" xfId="2" applyFont="1" applyFill="1" applyBorder="1" applyAlignment="1">
      <alignment horizontal="center" vertical="center" wrapText="1"/>
    </xf>
    <xf numFmtId="0" fontId="24" fillId="4" borderId="71"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25" fillId="14" borderId="47" xfId="2" applyFont="1" applyFill="1" applyBorder="1" applyAlignment="1">
      <alignment horizontal="center" vertical="center"/>
    </xf>
    <xf numFmtId="0" fontId="25" fillId="14" borderId="48" xfId="2" applyFont="1" applyFill="1" applyBorder="1" applyAlignment="1">
      <alignment horizontal="center" vertical="center"/>
    </xf>
    <xf numFmtId="0" fontId="26" fillId="0" borderId="48" xfId="2" applyFont="1" applyBorder="1" applyAlignment="1">
      <alignment horizontal="justify" vertical="center" wrapText="1"/>
    </xf>
    <xf numFmtId="0" fontId="26" fillId="0" borderId="49" xfId="2" applyFont="1" applyBorder="1" applyAlignment="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lignment horizontal="center" vertical="center" wrapText="1"/>
    </xf>
    <xf numFmtId="0" fontId="19" fillId="3" borderId="33" xfId="2" applyFont="1" applyFill="1" applyBorder="1" applyAlignment="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lignment horizontal="center" vertical="center" wrapText="1"/>
    </xf>
    <xf numFmtId="0" fontId="19" fillId="2" borderId="83"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3" xfId="2"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85"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86" xfId="0" applyNumberFormat="1" applyFill="1" applyBorder="1" applyAlignment="1" applyProtection="1">
      <alignment horizontal="left" vertical="top" wrapText="1"/>
      <protection locked="0"/>
    </xf>
    <xf numFmtId="0" fontId="59" fillId="0" borderId="24" xfId="0" applyFont="1" applyBorder="1" applyAlignment="1" applyProtection="1">
      <alignment horizontal="left" vertical="center" wrapText="1"/>
      <protection locked="0"/>
    </xf>
    <xf numFmtId="0" fontId="57" fillId="0" borderId="1"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0" fontId="52" fillId="12" borderId="0" xfId="0" applyFont="1" applyFill="1" applyAlignment="1">
      <alignment horizontal="center" vertical="center" wrapText="1"/>
    </xf>
    <xf numFmtId="0" fontId="0" fillId="0" borderId="73" xfId="0" applyBorder="1" applyAlignment="1">
      <alignment horizontal="center"/>
    </xf>
    <xf numFmtId="0" fontId="0" fillId="0" borderId="1" xfId="0" applyBorder="1" applyAlignment="1">
      <alignment horizontal="center"/>
    </xf>
    <xf numFmtId="0" fontId="26" fillId="4" borderId="0" xfId="3" applyFont="1" applyFill="1" applyAlignment="1"/>
  </cellXfs>
  <cellStyles count="5">
    <cellStyle name="Normal" xfId="0" builtinId="0"/>
    <cellStyle name="Normal - Style1 2" xfId="3" xr:uid="{00000000-0005-0000-0000-000001000000}"/>
    <cellStyle name="Normal 2" xfId="2" xr:uid="{00000000-0005-0000-0000-000002000000}"/>
    <cellStyle name="Normal 2 2" xfId="4" xr:uid="{00000000-0005-0000-0000-000003000000}"/>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Resultados"/>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A5" zoomScale="90" zoomScaleNormal="90" workbookViewId="0">
      <selection activeCell="A5" sqref="A5"/>
    </sheetView>
  </sheetViews>
  <sheetFormatPr defaultColWidth="0" defaultRowHeight="13.9" zeroHeight="1"/>
  <cols>
    <col min="1" max="1" width="3.85546875" style="42" customWidth="1"/>
    <col min="2" max="2" width="15.28515625" style="42" customWidth="1"/>
    <col min="3" max="3" width="17.28515625" style="42" customWidth="1"/>
    <col min="4" max="4" width="28.5703125" style="42" customWidth="1"/>
    <col min="5" max="5" width="12.85546875" style="42" customWidth="1"/>
    <col min="6" max="6" width="47.140625" style="42" customWidth="1"/>
    <col min="7" max="7" width="21.42578125" style="42" customWidth="1"/>
    <col min="8" max="8" width="6.5703125" style="42" customWidth="1"/>
    <col min="9" max="9" width="2.5703125" style="42" customWidth="1"/>
    <col min="10" max="16384" width="11.42578125" style="42" hidden="1"/>
  </cols>
  <sheetData>
    <row r="1" spans="2:8" ht="14.45" thickBot="1"/>
    <row r="2" spans="2:8" ht="73.5" customHeight="1">
      <c r="B2" s="153" t="s">
        <v>0</v>
      </c>
      <c r="C2" s="154"/>
      <c r="D2" s="154"/>
      <c r="E2" s="154"/>
      <c r="F2" s="154"/>
      <c r="G2" s="154"/>
      <c r="H2" s="155"/>
    </row>
    <row r="3" spans="2:8" ht="65.25" customHeight="1">
      <c r="B3" s="156" t="s">
        <v>1</v>
      </c>
      <c r="C3" s="157"/>
      <c r="D3" s="157"/>
      <c r="E3" s="157"/>
      <c r="F3" s="157"/>
      <c r="G3" s="157"/>
      <c r="H3" s="158"/>
    </row>
    <row r="4" spans="2:8" ht="82.5" customHeight="1">
      <c r="B4" s="156"/>
      <c r="C4" s="157"/>
      <c r="D4" s="157"/>
      <c r="E4" s="157"/>
      <c r="F4" s="157"/>
      <c r="G4" s="157"/>
      <c r="H4" s="158"/>
    </row>
    <row r="5" spans="2:8" ht="21.75" customHeight="1">
      <c r="B5" s="159" t="s">
        <v>2</v>
      </c>
      <c r="C5" s="160"/>
      <c r="D5" s="160"/>
      <c r="E5" s="160"/>
      <c r="F5" s="160"/>
      <c r="G5" s="160"/>
      <c r="H5" s="161"/>
    </row>
    <row r="6" spans="2:8" ht="42" customHeight="1">
      <c r="B6" s="162" t="s">
        <v>3</v>
      </c>
      <c r="C6" s="163"/>
      <c r="D6" s="163"/>
      <c r="E6" s="163"/>
      <c r="F6" s="163"/>
      <c r="G6" s="163"/>
      <c r="H6" s="164"/>
    </row>
    <row r="7" spans="2:8" ht="14.25" customHeight="1">
      <c r="B7" s="162"/>
      <c r="C7" s="163"/>
      <c r="D7" s="163"/>
      <c r="E7" s="163"/>
      <c r="F7" s="163"/>
      <c r="G7" s="163"/>
      <c r="H7" s="164"/>
    </row>
    <row r="8" spans="2:8" ht="12.75" customHeight="1" thickBot="1">
      <c r="B8" s="54"/>
      <c r="C8" s="48"/>
      <c r="D8" s="63"/>
      <c r="E8" s="64"/>
      <c r="F8" s="64"/>
      <c r="G8" s="62"/>
      <c r="H8" s="56"/>
    </row>
    <row r="9" spans="2:8" ht="21" customHeight="1" thickTop="1">
      <c r="B9" s="54"/>
      <c r="C9" s="165" t="s">
        <v>4</v>
      </c>
      <c r="D9" s="166"/>
      <c r="E9" s="167" t="s">
        <v>5</v>
      </c>
      <c r="F9" s="168"/>
      <c r="G9" s="48"/>
      <c r="H9" s="56"/>
    </row>
    <row r="10" spans="2:8" ht="37.5" customHeight="1">
      <c r="B10" s="54"/>
      <c r="C10" s="169" t="s">
        <v>6</v>
      </c>
      <c r="D10" s="170"/>
      <c r="E10" s="171" t="s">
        <v>7</v>
      </c>
      <c r="F10" s="172"/>
      <c r="G10" s="48"/>
      <c r="H10" s="56"/>
    </row>
    <row r="11" spans="2:8" ht="39.75" customHeight="1">
      <c r="B11" s="54"/>
      <c r="C11" s="173" t="s">
        <v>8</v>
      </c>
      <c r="D11" s="174"/>
      <c r="E11" s="175" t="s">
        <v>9</v>
      </c>
      <c r="F11" s="176"/>
      <c r="G11" s="48"/>
      <c r="H11" s="56"/>
    </row>
    <row r="12" spans="2:8" ht="59.25" customHeight="1">
      <c r="B12" s="54"/>
      <c r="C12" s="173" t="s">
        <v>10</v>
      </c>
      <c r="D12" s="174"/>
      <c r="E12" s="177" t="s">
        <v>11</v>
      </c>
      <c r="F12" s="178"/>
      <c r="G12" s="48"/>
      <c r="H12" s="56"/>
    </row>
    <row r="13" spans="2:8" ht="33.75" customHeight="1">
      <c r="B13" s="54"/>
      <c r="C13" s="182" t="s">
        <v>12</v>
      </c>
      <c r="D13" s="183"/>
      <c r="E13" s="175" t="s">
        <v>13</v>
      </c>
      <c r="F13" s="176"/>
      <c r="G13" s="48"/>
      <c r="H13" s="56"/>
    </row>
    <row r="14" spans="2:8" ht="19.5" customHeight="1">
      <c r="B14" s="54"/>
      <c r="C14" s="60"/>
      <c r="D14" s="60"/>
      <c r="E14" s="61"/>
      <c r="F14" s="61"/>
      <c r="G14" s="48"/>
      <c r="H14" s="56"/>
    </row>
    <row r="15" spans="2:8" ht="37.5" customHeight="1" thickBot="1">
      <c r="B15" s="179" t="s">
        <v>14</v>
      </c>
      <c r="C15" s="180"/>
      <c r="D15" s="180"/>
      <c r="E15" s="180"/>
      <c r="F15" s="180"/>
      <c r="G15" s="180"/>
      <c r="H15" s="181"/>
    </row>
    <row r="16" spans="2:8" ht="27.75" customHeight="1" thickBot="1">
      <c r="B16" s="54"/>
      <c r="C16" s="184" t="s">
        <v>15</v>
      </c>
      <c r="D16" s="185"/>
      <c r="E16" s="185" t="s">
        <v>16</v>
      </c>
      <c r="F16" s="196"/>
      <c r="G16" s="48"/>
      <c r="H16" s="56"/>
    </row>
    <row r="17" spans="2:8" ht="27.75" customHeight="1">
      <c r="B17" s="54"/>
      <c r="C17" s="197" t="s">
        <v>17</v>
      </c>
      <c r="D17" s="198"/>
      <c r="E17" s="199" t="s">
        <v>18</v>
      </c>
      <c r="F17" s="200"/>
      <c r="G17" s="93"/>
      <c r="H17" s="56"/>
    </row>
    <row r="18" spans="2:8" ht="41.25" customHeight="1">
      <c r="B18" s="54"/>
      <c r="C18" s="186" t="s">
        <v>19</v>
      </c>
      <c r="D18" s="187"/>
      <c r="E18" s="188" t="s">
        <v>20</v>
      </c>
      <c r="F18" s="189"/>
      <c r="G18" s="94"/>
      <c r="H18" s="56"/>
    </row>
    <row r="19" spans="2:8" ht="37.5" customHeight="1" thickBot="1">
      <c r="B19" s="54"/>
      <c r="C19" s="190" t="s">
        <v>21</v>
      </c>
      <c r="D19" s="191"/>
      <c r="E19" s="192" t="s">
        <v>22</v>
      </c>
      <c r="F19" s="193"/>
      <c r="G19" s="94"/>
      <c r="H19" s="56"/>
    </row>
    <row r="20" spans="2:8" ht="11.25" customHeight="1">
      <c r="B20" s="49"/>
      <c r="C20" s="50"/>
      <c r="D20" s="50"/>
      <c r="E20" s="50"/>
      <c r="F20" s="50"/>
      <c r="G20" s="50"/>
      <c r="H20" s="51"/>
    </row>
    <row r="21" spans="2:8" ht="14.25" customHeight="1">
      <c r="B21" s="52"/>
      <c r="C21" s="194"/>
      <c r="D21" s="194"/>
      <c r="E21" s="195"/>
      <c r="F21" s="195"/>
      <c r="G21" s="195"/>
      <c r="H21" s="53"/>
    </row>
    <row r="22" spans="2:8" ht="36" customHeight="1">
      <c r="B22" s="179" t="s">
        <v>23</v>
      </c>
      <c r="C22" s="180"/>
      <c r="D22" s="180"/>
      <c r="E22" s="180"/>
      <c r="F22" s="180"/>
      <c r="G22" s="180"/>
      <c r="H22" s="181"/>
    </row>
    <row r="23" spans="2:8">
      <c r="B23" s="54"/>
      <c r="C23" s="55"/>
      <c r="D23" s="55"/>
      <c r="E23" s="315"/>
      <c r="F23" s="315"/>
      <c r="G23" s="48"/>
      <c r="H23" s="56"/>
    </row>
    <row r="24" spans="2:8" ht="14.45" thickBot="1">
      <c r="B24" s="57"/>
      <c r="C24" s="58"/>
      <c r="D24" s="58"/>
      <c r="E24" s="58"/>
      <c r="F24" s="58"/>
      <c r="G24" s="58"/>
      <c r="H24" s="59"/>
    </row>
    <row r="25" spans="2:8"/>
    <row r="26" spans="2:8" ht="29.25" customHeight="1"/>
    <row r="27" spans="2:8" ht="26.25" customHeight="1"/>
    <row r="28" spans="2:8" ht="43.5" customHeight="1"/>
    <row r="29" spans="2:8" ht="53.25" customHeight="1"/>
    <row r="30" spans="2:8"/>
    <row r="31" spans="2:8"/>
    <row r="32" spans="2:8"/>
    <row r="33"/>
    <row r="34"/>
    <row r="35"/>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row r="52"/>
    <row r="54"/>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9"/>
  <sheetViews>
    <sheetView showGridLines="0" topLeftCell="D56" zoomScale="80" zoomScaleNormal="80" workbookViewId="0">
      <selection activeCell="G62" sqref="G62"/>
    </sheetView>
  </sheetViews>
  <sheetFormatPr defaultColWidth="11.42578125" defaultRowHeight="13.9"/>
  <cols>
    <col min="1" max="1" width="3" style="44" hidden="1" customWidth="1"/>
    <col min="2" max="2" width="9.42578125" style="44" customWidth="1"/>
    <col min="3" max="3" width="25.5703125" style="44" customWidth="1"/>
    <col min="4" max="4" width="46.5703125" style="44" customWidth="1"/>
    <col min="5" max="5" width="10.140625" style="66" customWidth="1"/>
    <col min="6" max="6" width="44.5703125" style="66" customWidth="1"/>
    <col min="7" max="7" width="15.42578125" style="44" customWidth="1"/>
    <col min="8" max="9" width="43" style="44" customWidth="1"/>
    <col min="10" max="12" width="11.42578125" style="69" customWidth="1"/>
    <col min="13" max="24" width="11.42578125" style="44" customWidth="1"/>
    <col min="25" max="16384" width="11.42578125" style="44"/>
  </cols>
  <sheetData>
    <row r="1" spans="1:32">
      <c r="B1" s="43"/>
      <c r="C1" s="43"/>
      <c r="D1" s="43"/>
      <c r="E1" s="65"/>
      <c r="F1" s="65"/>
      <c r="G1" s="43"/>
      <c r="H1" s="43"/>
      <c r="I1" s="43"/>
      <c r="J1" s="67"/>
      <c r="K1" s="67"/>
      <c r="L1" s="67"/>
      <c r="M1" s="43"/>
      <c r="N1" s="43"/>
      <c r="O1" s="43"/>
      <c r="P1" s="43"/>
      <c r="Q1" s="43"/>
      <c r="R1" s="43"/>
      <c r="S1" s="43"/>
      <c r="T1" s="43"/>
      <c r="U1" s="43"/>
      <c r="V1" s="43"/>
      <c r="W1" s="43"/>
      <c r="X1" s="43"/>
    </row>
    <row r="2" spans="1:32">
      <c r="B2" s="43"/>
      <c r="C2" s="43"/>
      <c r="D2" s="43"/>
      <c r="E2" s="65"/>
      <c r="F2" s="65"/>
      <c r="G2" s="43"/>
      <c r="H2" s="43"/>
      <c r="I2" s="43"/>
      <c r="J2" s="67"/>
      <c r="K2" s="67"/>
      <c r="L2" s="67"/>
      <c r="M2" s="43"/>
      <c r="N2" s="43"/>
      <c r="O2" s="43"/>
      <c r="P2" s="43"/>
      <c r="Q2" s="43"/>
      <c r="R2" s="43"/>
      <c r="S2" s="43"/>
      <c r="T2" s="43"/>
      <c r="U2" s="43"/>
      <c r="V2" s="43"/>
      <c r="W2" s="43"/>
      <c r="X2" s="43"/>
    </row>
    <row r="3" spans="1:32">
      <c r="B3" s="43"/>
      <c r="C3" s="43"/>
      <c r="D3" s="43"/>
      <c r="E3" s="65"/>
      <c r="F3" s="65"/>
      <c r="G3" s="43"/>
      <c r="H3" s="43"/>
      <c r="I3" s="43"/>
      <c r="J3" s="67"/>
      <c r="K3" s="67"/>
      <c r="L3" s="67"/>
      <c r="M3" s="43"/>
      <c r="N3" s="43"/>
      <c r="O3" s="43"/>
      <c r="P3" s="43"/>
      <c r="Q3" s="43"/>
      <c r="R3" s="43"/>
      <c r="S3" s="43"/>
      <c r="T3" s="43"/>
      <c r="U3" s="43"/>
      <c r="V3" s="43"/>
      <c r="W3" s="43"/>
      <c r="X3" s="43"/>
    </row>
    <row r="4" spans="1:32">
      <c r="B4" s="43"/>
      <c r="C4" s="43"/>
      <c r="D4" s="43"/>
      <c r="E4" s="65"/>
      <c r="F4" s="65"/>
      <c r="G4" s="43"/>
      <c r="H4" s="43"/>
      <c r="I4" s="43"/>
      <c r="J4" s="67"/>
      <c r="K4" s="67"/>
      <c r="L4" s="67"/>
      <c r="M4" s="43"/>
      <c r="N4" s="43"/>
      <c r="O4" s="43"/>
      <c r="P4" s="43"/>
      <c r="Q4" s="43"/>
      <c r="R4" s="43"/>
      <c r="S4" s="43"/>
      <c r="T4" s="43"/>
      <c r="U4" s="43"/>
      <c r="V4" s="43"/>
      <c r="W4" s="43"/>
      <c r="X4" s="43"/>
    </row>
    <row r="5" spans="1:32">
      <c r="B5" s="43"/>
      <c r="C5" s="43"/>
      <c r="D5" s="43"/>
      <c r="E5" s="65"/>
      <c r="F5" s="65"/>
      <c r="G5" s="43"/>
      <c r="H5" s="43"/>
      <c r="I5" s="43"/>
      <c r="J5" s="67"/>
      <c r="K5" s="67"/>
      <c r="L5" s="67"/>
      <c r="M5" s="43"/>
      <c r="N5" s="43"/>
      <c r="O5" s="43"/>
      <c r="P5" s="43"/>
      <c r="Q5" s="43"/>
      <c r="R5" s="43"/>
      <c r="S5" s="43"/>
      <c r="T5" s="43"/>
      <c r="U5" s="43"/>
      <c r="V5" s="43"/>
      <c r="W5" s="43"/>
      <c r="X5" s="43"/>
    </row>
    <row r="6" spans="1:32">
      <c r="B6" s="43"/>
      <c r="C6" s="43"/>
      <c r="D6" s="43"/>
      <c r="E6" s="65"/>
      <c r="F6" s="65"/>
      <c r="G6" s="43"/>
      <c r="H6" s="43"/>
      <c r="I6" s="43"/>
      <c r="J6" s="67"/>
      <c r="K6" s="67"/>
      <c r="L6" s="67"/>
      <c r="M6" s="43"/>
      <c r="N6" s="43"/>
      <c r="O6" s="43"/>
      <c r="P6" s="43"/>
      <c r="Q6" s="43"/>
      <c r="R6" s="43"/>
      <c r="S6" s="43"/>
      <c r="T6" s="43"/>
      <c r="U6" s="43"/>
      <c r="V6" s="43"/>
      <c r="W6" s="43"/>
      <c r="X6" s="43"/>
    </row>
    <row r="7" spans="1:32">
      <c r="B7" s="43"/>
      <c r="C7" s="43"/>
      <c r="D7" s="43"/>
      <c r="E7" s="65"/>
      <c r="F7" s="65"/>
      <c r="G7" s="43"/>
      <c r="H7" s="43"/>
      <c r="I7" s="43"/>
      <c r="J7" s="67"/>
      <c r="K7" s="67"/>
      <c r="L7" s="67"/>
      <c r="M7" s="43"/>
      <c r="N7" s="43"/>
      <c r="O7" s="43"/>
      <c r="P7" s="43"/>
      <c r="Q7" s="43"/>
      <c r="R7" s="43"/>
      <c r="S7" s="43"/>
      <c r="T7" s="43"/>
      <c r="U7" s="43"/>
      <c r="V7" s="43"/>
      <c r="W7" s="43"/>
      <c r="X7" s="43"/>
    </row>
    <row r="8" spans="1:32">
      <c r="B8" s="43"/>
      <c r="C8" s="43"/>
      <c r="D8" s="43"/>
      <c r="E8" s="65"/>
      <c r="F8" s="65"/>
      <c r="G8" s="43"/>
      <c r="H8" s="43"/>
      <c r="I8" s="43"/>
      <c r="J8" s="67"/>
      <c r="K8" s="67"/>
      <c r="L8" s="67"/>
      <c r="M8" s="43"/>
      <c r="N8" s="43"/>
      <c r="O8" s="43"/>
      <c r="P8" s="43"/>
      <c r="Q8" s="43"/>
      <c r="R8" s="43"/>
      <c r="S8" s="43"/>
      <c r="T8" s="43"/>
      <c r="U8" s="43"/>
      <c r="V8" s="43"/>
      <c r="W8" s="43"/>
      <c r="X8" s="43"/>
    </row>
    <row r="9" spans="1:32">
      <c r="B9" s="43"/>
      <c r="C9" s="43"/>
      <c r="D9" s="43"/>
      <c r="E9" s="65"/>
      <c r="F9" s="65"/>
      <c r="G9" s="43"/>
      <c r="H9" s="43"/>
      <c r="I9" s="43"/>
      <c r="J9" s="67"/>
      <c r="K9" s="67"/>
      <c r="L9" s="67"/>
      <c r="M9" s="43"/>
      <c r="N9" s="43"/>
      <c r="O9" s="43"/>
      <c r="P9" s="43"/>
      <c r="Q9" s="43"/>
      <c r="R9" s="43"/>
      <c r="S9" s="43"/>
      <c r="T9" s="43"/>
      <c r="U9" s="43"/>
      <c r="V9" s="43"/>
      <c r="W9" s="43"/>
      <c r="X9" s="43"/>
    </row>
    <row r="10" spans="1:32">
      <c r="B10" s="43"/>
      <c r="C10" s="43"/>
      <c r="D10" s="43"/>
      <c r="E10" s="65"/>
      <c r="F10" s="65"/>
      <c r="G10" s="43"/>
      <c r="H10" s="43"/>
      <c r="I10" s="43"/>
      <c r="J10" s="67"/>
      <c r="K10" s="67"/>
      <c r="L10" s="67"/>
      <c r="M10" s="43"/>
      <c r="N10" s="43"/>
      <c r="O10" s="43"/>
      <c r="P10" s="43"/>
      <c r="Q10" s="43"/>
      <c r="R10" s="43"/>
      <c r="S10" s="43"/>
      <c r="T10" s="43"/>
      <c r="U10" s="43"/>
      <c r="V10" s="43"/>
      <c r="W10" s="43"/>
      <c r="X10" s="43"/>
    </row>
    <row r="11" spans="1:32">
      <c r="B11" s="43"/>
      <c r="C11" s="43"/>
      <c r="D11" s="43"/>
      <c r="E11" s="65"/>
      <c r="F11" s="65"/>
      <c r="G11" s="43"/>
      <c r="H11" s="43"/>
      <c r="I11" s="43"/>
      <c r="J11" s="67"/>
      <c r="K11" s="67"/>
      <c r="L11" s="67"/>
      <c r="M11" s="43"/>
      <c r="N11" s="43"/>
      <c r="O11" s="43"/>
      <c r="P11" s="43"/>
      <c r="Q11" s="43"/>
      <c r="R11" s="43"/>
      <c r="S11" s="43"/>
      <c r="T11" s="43"/>
      <c r="U11" s="43"/>
      <c r="V11" s="43"/>
      <c r="W11" s="43"/>
      <c r="X11" s="43"/>
    </row>
    <row r="12" spans="1:32">
      <c r="B12" s="43"/>
      <c r="C12" s="43"/>
      <c r="D12" s="43"/>
      <c r="E12" s="65"/>
      <c r="F12" s="65"/>
      <c r="G12" s="43"/>
      <c r="H12" s="43"/>
      <c r="I12" s="43"/>
      <c r="J12" s="67"/>
      <c r="K12" s="67"/>
      <c r="L12" s="67"/>
      <c r="M12" s="43"/>
      <c r="N12" s="43"/>
      <c r="O12" s="43"/>
      <c r="P12" s="43"/>
      <c r="Q12" s="43"/>
      <c r="R12" s="43"/>
      <c r="S12" s="43"/>
      <c r="T12" s="43"/>
      <c r="U12" s="43"/>
      <c r="V12" s="43"/>
      <c r="W12" s="43"/>
      <c r="X12" s="43"/>
    </row>
    <row r="13" spans="1:32">
      <c r="B13" s="43"/>
      <c r="C13" s="43"/>
      <c r="D13" s="43"/>
      <c r="E13" s="65"/>
      <c r="F13" s="65"/>
      <c r="G13" s="43"/>
      <c r="H13" s="43"/>
      <c r="I13" s="43"/>
      <c r="J13" s="67"/>
      <c r="K13" s="67"/>
      <c r="L13" s="67"/>
      <c r="M13" s="43"/>
      <c r="N13" s="43"/>
      <c r="O13" s="43"/>
      <c r="P13" s="43"/>
      <c r="Q13" s="43"/>
      <c r="R13" s="43"/>
      <c r="S13" s="43"/>
      <c r="T13" s="43"/>
      <c r="U13" s="43"/>
      <c r="V13" s="43"/>
      <c r="W13" s="43"/>
      <c r="X13" s="43"/>
    </row>
    <row r="14" spans="1:32" s="46" customFormat="1" ht="49.5" customHeight="1">
      <c r="B14" s="232" t="s">
        <v>24</v>
      </c>
      <c r="C14" s="232"/>
      <c r="D14" s="232"/>
      <c r="E14" s="232"/>
      <c r="F14" s="232"/>
      <c r="G14" s="232"/>
      <c r="H14" s="232"/>
      <c r="I14" s="232"/>
      <c r="J14" s="68"/>
      <c r="K14" s="68"/>
      <c r="L14" s="68"/>
      <c r="M14" s="45"/>
      <c r="N14" s="45"/>
      <c r="O14" s="45"/>
      <c r="P14" s="45"/>
      <c r="Q14" s="45"/>
      <c r="R14" s="45"/>
      <c r="S14" s="45"/>
      <c r="T14" s="45"/>
      <c r="U14" s="45"/>
      <c r="V14" s="45"/>
      <c r="W14" s="45"/>
      <c r="X14" s="45"/>
      <c r="Y14" s="45"/>
      <c r="Z14" s="45"/>
      <c r="AA14" s="45"/>
      <c r="AB14" s="45"/>
      <c r="AC14" s="45"/>
      <c r="AD14" s="45"/>
      <c r="AE14" s="45"/>
      <c r="AF14" s="45"/>
    </row>
    <row r="15" spans="1:32" s="46" customFormat="1" ht="123.75" customHeight="1" thickBot="1">
      <c r="B15" s="71" t="s">
        <v>25</v>
      </c>
      <c r="C15" s="71" t="s">
        <v>6</v>
      </c>
      <c r="D15" s="72" t="s">
        <v>8</v>
      </c>
      <c r="E15" s="73" t="s">
        <v>26</v>
      </c>
      <c r="F15" s="73" t="s">
        <v>27</v>
      </c>
      <c r="G15" s="73" t="s">
        <v>28</v>
      </c>
      <c r="H15" s="74" t="s">
        <v>29</v>
      </c>
      <c r="I15" s="73" t="s">
        <v>30</v>
      </c>
      <c r="J15" s="68"/>
      <c r="K15" s="68"/>
      <c r="L15" s="68"/>
      <c r="M15" s="45"/>
      <c r="N15" s="45"/>
      <c r="O15" s="45"/>
      <c r="P15" s="45"/>
      <c r="Q15" s="45"/>
      <c r="R15" s="45"/>
      <c r="S15" s="45"/>
      <c r="T15" s="45"/>
      <c r="U15" s="45"/>
      <c r="V15" s="45"/>
      <c r="W15" s="45"/>
      <c r="X15" s="45"/>
      <c r="Y15" s="45"/>
      <c r="Z15" s="45"/>
      <c r="AA15" s="45"/>
      <c r="AB15" s="45"/>
      <c r="AC15" s="45"/>
      <c r="AD15" s="45"/>
      <c r="AE15" s="45"/>
      <c r="AF15" s="45"/>
    </row>
    <row r="16" spans="1:32" s="46" customFormat="1" ht="71.25" customHeight="1">
      <c r="A16" s="95" t="str">
        <f>1&amp;E16</f>
        <v>1a</v>
      </c>
      <c r="B16" s="243" t="s">
        <v>31</v>
      </c>
      <c r="C16" s="207" t="s">
        <v>32</v>
      </c>
      <c r="D16" s="240" t="s">
        <v>33</v>
      </c>
      <c r="E16" s="75" t="s">
        <v>34</v>
      </c>
      <c r="F16" s="76" t="s">
        <v>35</v>
      </c>
      <c r="G16" s="103" t="s">
        <v>36</v>
      </c>
      <c r="H16" s="104" t="s">
        <v>37</v>
      </c>
      <c r="I16" s="96" t="str">
        <f>+IF(G16="Si","Mantenimiento del control",IF(G16="En proceso","Oportunidad de mejora","Deficiencia de control"))</f>
        <v>Mantenimiento del control</v>
      </c>
      <c r="J16" s="97">
        <f t="shared" ref="J16:J27" si="0">+IF(G16="Si",20,IF(G16="En proceso",10,0))</f>
        <v>20</v>
      </c>
      <c r="K16" s="97">
        <v>0.123</v>
      </c>
      <c r="L16" s="97">
        <f>+J16+K16</f>
        <v>20.123000000000001</v>
      </c>
    </row>
    <row r="17" spans="1:32" s="46" customFormat="1" ht="99">
      <c r="A17" s="95" t="str">
        <f t="shared" ref="A17:A27" si="1">1&amp;E17</f>
        <v>1b</v>
      </c>
      <c r="B17" s="244"/>
      <c r="C17" s="208"/>
      <c r="D17" s="241"/>
      <c r="E17" s="77" t="s">
        <v>38</v>
      </c>
      <c r="F17" s="78" t="s">
        <v>39</v>
      </c>
      <c r="G17" s="105" t="s">
        <v>36</v>
      </c>
      <c r="H17" s="106" t="s">
        <v>40</v>
      </c>
      <c r="I17" s="98" t="str">
        <f t="shared" ref="I17:I59" si="2">+IF(G17="Si","Mantenimiento del control",IF(G17="En proceso","Oportunidad de mejora","Deficiencia de control"))</f>
        <v>Mantenimiento del control</v>
      </c>
      <c r="J17" s="99">
        <f t="shared" si="0"/>
        <v>20</v>
      </c>
      <c r="K17" s="97">
        <v>0.1234</v>
      </c>
      <c r="L17" s="97">
        <f t="shared" ref="L17:L59" si="3">+J17+K17</f>
        <v>20.1234</v>
      </c>
    </row>
    <row r="18" spans="1:32" s="46" customFormat="1" ht="83.25" customHeight="1">
      <c r="A18" s="95" t="str">
        <f t="shared" si="1"/>
        <v>1c</v>
      </c>
      <c r="B18" s="244"/>
      <c r="C18" s="208"/>
      <c r="D18" s="241"/>
      <c r="E18" s="77" t="s">
        <v>41</v>
      </c>
      <c r="F18" s="79" t="s">
        <v>42</v>
      </c>
      <c r="G18" s="105" t="s">
        <v>36</v>
      </c>
      <c r="H18" s="107" t="s">
        <v>43</v>
      </c>
      <c r="I18" s="100" t="str">
        <f t="shared" si="2"/>
        <v>Mantenimiento del control</v>
      </c>
      <c r="J18" s="99">
        <f t="shared" si="0"/>
        <v>20</v>
      </c>
      <c r="K18" s="97">
        <v>0.12345</v>
      </c>
      <c r="L18" s="97">
        <f t="shared" si="3"/>
        <v>20.123449999999998</v>
      </c>
    </row>
    <row r="19" spans="1:32" s="46" customFormat="1" ht="46.5" customHeight="1">
      <c r="A19" s="95" t="str">
        <f t="shared" si="1"/>
        <v>1d</v>
      </c>
      <c r="B19" s="244"/>
      <c r="C19" s="208"/>
      <c r="D19" s="241"/>
      <c r="E19" s="77" t="s">
        <v>44</v>
      </c>
      <c r="F19" s="79" t="s">
        <v>45</v>
      </c>
      <c r="G19" s="105" t="s">
        <v>46</v>
      </c>
      <c r="H19" s="107" t="s">
        <v>47</v>
      </c>
      <c r="I19" s="100" t="str">
        <f t="shared" si="2"/>
        <v>Oportunidad de mejora</v>
      </c>
      <c r="J19" s="99">
        <f t="shared" si="0"/>
        <v>10</v>
      </c>
      <c r="K19" s="97">
        <v>0.123456</v>
      </c>
      <c r="L19" s="97">
        <f t="shared" si="3"/>
        <v>10.123455999999999</v>
      </c>
    </row>
    <row r="20" spans="1:32" s="46" customFormat="1" ht="99" customHeight="1">
      <c r="A20" s="95" t="str">
        <f t="shared" si="1"/>
        <v>1e</v>
      </c>
      <c r="B20" s="244"/>
      <c r="C20" s="208"/>
      <c r="D20" s="241"/>
      <c r="E20" s="77" t="s">
        <v>48</v>
      </c>
      <c r="F20" s="79" t="s">
        <v>49</v>
      </c>
      <c r="G20" s="105" t="s">
        <v>46</v>
      </c>
      <c r="H20" s="107" t="s">
        <v>50</v>
      </c>
      <c r="I20" s="100" t="str">
        <f t="shared" si="2"/>
        <v>Oportunidad de mejora</v>
      </c>
      <c r="J20" s="99">
        <f t="shared" si="0"/>
        <v>10</v>
      </c>
      <c r="K20" s="97">
        <v>0.12345678</v>
      </c>
      <c r="L20" s="97">
        <f t="shared" si="3"/>
        <v>10.12345678</v>
      </c>
    </row>
    <row r="21" spans="1:32" s="46" customFormat="1" ht="103.5" customHeight="1">
      <c r="A21" s="95" t="str">
        <f t="shared" si="1"/>
        <v>1f</v>
      </c>
      <c r="B21" s="244"/>
      <c r="C21" s="208"/>
      <c r="D21" s="241"/>
      <c r="E21" s="77" t="s">
        <v>51</v>
      </c>
      <c r="F21" s="79" t="s">
        <v>52</v>
      </c>
      <c r="G21" s="105" t="s">
        <v>36</v>
      </c>
      <c r="H21" s="107" t="s">
        <v>53</v>
      </c>
      <c r="I21" s="100" t="str">
        <f t="shared" si="2"/>
        <v>Mantenimiento del control</v>
      </c>
      <c r="J21" s="99">
        <f t="shared" si="0"/>
        <v>20</v>
      </c>
      <c r="K21" s="97">
        <v>0.123456789</v>
      </c>
      <c r="L21" s="97">
        <f t="shared" si="3"/>
        <v>20.123456788999999</v>
      </c>
    </row>
    <row r="22" spans="1:32" s="46" customFormat="1" ht="138" customHeight="1">
      <c r="A22" s="95" t="str">
        <f t="shared" si="1"/>
        <v>1g</v>
      </c>
      <c r="B22" s="244"/>
      <c r="C22" s="208"/>
      <c r="D22" s="241"/>
      <c r="E22" s="77" t="s">
        <v>54</v>
      </c>
      <c r="F22" s="79" t="s">
        <v>55</v>
      </c>
      <c r="G22" s="105" t="s">
        <v>36</v>
      </c>
      <c r="H22" s="107" t="s">
        <v>56</v>
      </c>
      <c r="I22" s="100" t="str">
        <f t="shared" si="2"/>
        <v>Mantenimiento del control</v>
      </c>
      <c r="J22" s="99">
        <f t="shared" si="0"/>
        <v>20</v>
      </c>
      <c r="K22" s="97">
        <v>0.12345678910000001</v>
      </c>
      <c r="L22" s="97">
        <f t="shared" si="3"/>
        <v>20.1234567891</v>
      </c>
    </row>
    <row r="23" spans="1:32" s="46" customFormat="1" ht="119.25" customHeight="1">
      <c r="A23" s="95" t="str">
        <f t="shared" si="1"/>
        <v>1h</v>
      </c>
      <c r="B23" s="244"/>
      <c r="C23" s="208"/>
      <c r="D23" s="241"/>
      <c r="E23" s="77" t="s">
        <v>57</v>
      </c>
      <c r="F23" s="79" t="s">
        <v>58</v>
      </c>
      <c r="G23" s="105" t="s">
        <v>46</v>
      </c>
      <c r="H23" s="107" t="s">
        <v>59</v>
      </c>
      <c r="I23" s="100" t="str">
        <f t="shared" si="2"/>
        <v>Oportunidad de mejora</v>
      </c>
      <c r="J23" s="99">
        <f t="shared" si="0"/>
        <v>10</v>
      </c>
      <c r="K23" s="97">
        <v>0.12345678911999999</v>
      </c>
      <c r="L23" s="97">
        <f t="shared" si="3"/>
        <v>10.12345678912</v>
      </c>
    </row>
    <row r="24" spans="1:32" s="46" customFormat="1" ht="148.5">
      <c r="A24" s="95" t="str">
        <f t="shared" si="1"/>
        <v>1i</v>
      </c>
      <c r="B24" s="244"/>
      <c r="C24" s="208"/>
      <c r="D24" s="241"/>
      <c r="E24" s="77" t="s">
        <v>60</v>
      </c>
      <c r="F24" s="79" t="s">
        <v>61</v>
      </c>
      <c r="G24" s="105" t="s">
        <v>36</v>
      </c>
      <c r="H24" s="107" t="s">
        <v>62</v>
      </c>
      <c r="I24" s="100" t="str">
        <f t="shared" si="2"/>
        <v>Mantenimiento del control</v>
      </c>
      <c r="J24" s="99">
        <f t="shared" si="0"/>
        <v>20</v>
      </c>
      <c r="K24" s="97">
        <v>0.123456789123</v>
      </c>
      <c r="L24" s="97">
        <f t="shared" si="3"/>
        <v>20.123456789123001</v>
      </c>
    </row>
    <row r="25" spans="1:32" s="46" customFormat="1" ht="132" customHeight="1">
      <c r="A25" s="95" t="str">
        <f t="shared" si="1"/>
        <v>1j</v>
      </c>
      <c r="B25" s="244"/>
      <c r="C25" s="208"/>
      <c r="D25" s="241"/>
      <c r="E25" s="77" t="s">
        <v>63</v>
      </c>
      <c r="F25" s="79" t="s">
        <v>64</v>
      </c>
      <c r="G25" s="105" t="s">
        <v>36</v>
      </c>
      <c r="H25" s="107" t="s">
        <v>65</v>
      </c>
      <c r="I25" s="100" t="str">
        <f t="shared" si="2"/>
        <v>Mantenimiento del control</v>
      </c>
      <c r="J25" s="99">
        <f t="shared" si="0"/>
        <v>20</v>
      </c>
      <c r="K25" s="97">
        <v>0.1234567891234</v>
      </c>
      <c r="L25" s="97">
        <f t="shared" si="3"/>
        <v>20.123456789123399</v>
      </c>
    </row>
    <row r="26" spans="1:32" s="46" customFormat="1" ht="115.5">
      <c r="A26" s="95" t="str">
        <f t="shared" si="1"/>
        <v>1k</v>
      </c>
      <c r="B26" s="244"/>
      <c r="C26" s="208"/>
      <c r="D26" s="241"/>
      <c r="E26" s="77" t="s">
        <v>66</v>
      </c>
      <c r="F26" s="79" t="s">
        <v>67</v>
      </c>
      <c r="G26" s="105" t="s">
        <v>36</v>
      </c>
      <c r="H26" s="107" t="s">
        <v>68</v>
      </c>
      <c r="I26" s="100" t="str">
        <f t="shared" si="2"/>
        <v>Mantenimiento del control</v>
      </c>
      <c r="J26" s="99">
        <f t="shared" si="0"/>
        <v>20</v>
      </c>
      <c r="K26" s="97">
        <v>0.12345678912345</v>
      </c>
      <c r="L26" s="97">
        <f t="shared" si="3"/>
        <v>20.123456789123448</v>
      </c>
    </row>
    <row r="27" spans="1:32" s="46" customFormat="1" ht="82.5">
      <c r="A27" s="95" t="str">
        <f t="shared" si="1"/>
        <v>1l</v>
      </c>
      <c r="B27" s="245"/>
      <c r="C27" s="209"/>
      <c r="D27" s="242"/>
      <c r="E27" s="80" t="s">
        <v>69</v>
      </c>
      <c r="F27" s="81" t="s">
        <v>70</v>
      </c>
      <c r="G27" s="108" t="s">
        <v>36</v>
      </c>
      <c r="H27" s="109" t="s">
        <v>71</v>
      </c>
      <c r="I27" s="101" t="str">
        <f t="shared" si="2"/>
        <v>Mantenimiento del control</v>
      </c>
      <c r="J27" s="99">
        <f t="shared" si="0"/>
        <v>20</v>
      </c>
      <c r="K27" s="97">
        <v>0.12345678912345601</v>
      </c>
      <c r="L27" s="97">
        <f t="shared" si="3"/>
        <v>20.123456789123455</v>
      </c>
    </row>
    <row r="28" spans="1:32" s="46" customFormat="1" ht="66">
      <c r="A28" s="95" t="str">
        <f>2&amp;E28</f>
        <v>2a</v>
      </c>
      <c r="B28" s="246" t="s">
        <v>72</v>
      </c>
      <c r="C28" s="210" t="s">
        <v>73</v>
      </c>
      <c r="D28" s="249" t="s">
        <v>74</v>
      </c>
      <c r="E28" s="75" t="s">
        <v>34</v>
      </c>
      <c r="F28" s="76" t="s">
        <v>75</v>
      </c>
      <c r="G28" s="103" t="s">
        <v>36</v>
      </c>
      <c r="H28" s="104" t="s">
        <v>76</v>
      </c>
      <c r="I28" s="96" t="str">
        <f t="shared" si="2"/>
        <v>Mantenimiento del control</v>
      </c>
      <c r="J28" s="97">
        <f>+IF(G28="Si",40,IF(G28="En proceso",30,20))</f>
        <v>40</v>
      </c>
      <c r="K28" s="97">
        <v>0.23</v>
      </c>
      <c r="L28" s="97">
        <f t="shared" si="3"/>
        <v>40.229999999999997</v>
      </c>
    </row>
    <row r="29" spans="1:32" s="46" customFormat="1" ht="148.5">
      <c r="A29" s="95" t="str">
        <f t="shared" ref="A29:A31" si="4">2&amp;E29</f>
        <v>2b</v>
      </c>
      <c r="B29" s="247"/>
      <c r="C29" s="211"/>
      <c r="D29" s="225"/>
      <c r="E29" s="77" t="s">
        <v>38</v>
      </c>
      <c r="F29" s="152" t="s">
        <v>77</v>
      </c>
      <c r="G29" s="105" t="s">
        <v>36</v>
      </c>
      <c r="H29" s="107" t="s">
        <v>78</v>
      </c>
      <c r="I29" s="100" t="str">
        <f t="shared" si="2"/>
        <v>Mantenimiento del control</v>
      </c>
      <c r="J29" s="97">
        <f>+IF(G29="Si",40,IF(G29="En proceso",30,20))</f>
        <v>40</v>
      </c>
      <c r="K29" s="97">
        <v>0.23400000000000001</v>
      </c>
      <c r="L29" s="97">
        <f t="shared" si="3"/>
        <v>40.234000000000002</v>
      </c>
    </row>
    <row r="30" spans="1:32" s="46" customFormat="1" ht="148.5">
      <c r="A30" s="95" t="str">
        <f t="shared" si="4"/>
        <v>2c</v>
      </c>
      <c r="B30" s="247"/>
      <c r="C30" s="211"/>
      <c r="D30" s="225"/>
      <c r="E30" s="77" t="s">
        <v>41</v>
      </c>
      <c r="F30" s="79" t="s">
        <v>79</v>
      </c>
      <c r="G30" s="105" t="s">
        <v>36</v>
      </c>
      <c r="H30" s="107" t="s">
        <v>80</v>
      </c>
      <c r="I30" s="100" t="str">
        <f t="shared" si="2"/>
        <v>Mantenimiento del control</v>
      </c>
      <c r="J30" s="97">
        <f>+IF(G30="Si",40,IF(G30="En proceso",30,20))</f>
        <v>40</v>
      </c>
      <c r="K30" s="97">
        <v>0.23449999999999999</v>
      </c>
      <c r="L30" s="97">
        <f t="shared" si="3"/>
        <v>40.234499999999997</v>
      </c>
    </row>
    <row r="31" spans="1:32" s="46" customFormat="1" ht="66.75">
      <c r="A31" s="95" t="str">
        <f t="shared" si="4"/>
        <v>2d</v>
      </c>
      <c r="B31" s="248"/>
      <c r="C31" s="212"/>
      <c r="D31" s="250"/>
      <c r="E31" s="80" t="s">
        <v>44</v>
      </c>
      <c r="F31" s="81" t="s">
        <v>81</v>
      </c>
      <c r="G31" s="108" t="s">
        <v>46</v>
      </c>
      <c r="H31" s="109" t="s">
        <v>82</v>
      </c>
      <c r="I31" s="101" t="str">
        <f t="shared" si="2"/>
        <v>Oportunidad de mejora</v>
      </c>
      <c r="J31" s="97">
        <f>+IF(G31="Si",40,IF(G31="En proceso",30,20))</f>
        <v>30</v>
      </c>
      <c r="K31" s="97">
        <v>0.23455999999999999</v>
      </c>
      <c r="L31" s="97">
        <f t="shared" si="3"/>
        <v>30.234559999999998</v>
      </c>
    </row>
    <row r="32" spans="1:32" s="46" customFormat="1" ht="138.75" customHeight="1">
      <c r="A32" s="95" t="str">
        <f>3&amp;E32</f>
        <v>3a</v>
      </c>
      <c r="B32" s="222" t="s">
        <v>83</v>
      </c>
      <c r="C32" s="222" t="s">
        <v>73</v>
      </c>
      <c r="D32" s="223" t="s">
        <v>84</v>
      </c>
      <c r="E32" s="77" t="s">
        <v>34</v>
      </c>
      <c r="F32" s="79" t="s">
        <v>85</v>
      </c>
      <c r="G32" s="105" t="s">
        <v>36</v>
      </c>
      <c r="H32" s="107" t="s">
        <v>86</v>
      </c>
      <c r="I32" s="100" t="str">
        <f t="shared" si="2"/>
        <v>Mantenimiento del control</v>
      </c>
      <c r="J32" s="97">
        <f t="shared" ref="J32:J37" si="5">+IF(G32="Si",40,IF(G32="En proceso",30,20))</f>
        <v>40</v>
      </c>
      <c r="K32" s="102">
        <v>0.234567</v>
      </c>
      <c r="L32" s="97">
        <f t="shared" ref="L32:L37" si="6">+J32+K32</f>
        <v>40.234566999999998</v>
      </c>
      <c r="M32" s="45"/>
      <c r="N32" s="45"/>
      <c r="O32" s="45"/>
      <c r="P32" s="45"/>
      <c r="Q32" s="45"/>
      <c r="R32" s="45"/>
      <c r="S32" s="45"/>
      <c r="T32" s="45"/>
      <c r="U32" s="45"/>
      <c r="V32" s="45"/>
      <c r="W32" s="45"/>
      <c r="X32" s="45"/>
      <c r="Y32" s="45"/>
      <c r="Z32" s="45"/>
      <c r="AA32" s="45"/>
      <c r="AB32" s="45"/>
      <c r="AC32" s="45"/>
      <c r="AD32" s="45"/>
      <c r="AE32" s="45"/>
      <c r="AF32" s="45"/>
    </row>
    <row r="33" spans="1:32" s="46" customFormat="1" ht="99">
      <c r="A33" s="95" t="str">
        <f t="shared" ref="A33:A34" si="7">3&amp;E33</f>
        <v>3b</v>
      </c>
      <c r="B33" s="222"/>
      <c r="C33" s="222"/>
      <c r="D33" s="223"/>
      <c r="E33" s="77" t="s">
        <v>38</v>
      </c>
      <c r="F33" s="79" t="s">
        <v>87</v>
      </c>
      <c r="G33" s="105" t="s">
        <v>36</v>
      </c>
      <c r="H33" s="107" t="s">
        <v>88</v>
      </c>
      <c r="I33" s="100" t="str">
        <f t="shared" si="2"/>
        <v>Mantenimiento del control</v>
      </c>
      <c r="J33" s="97">
        <f t="shared" si="5"/>
        <v>40</v>
      </c>
      <c r="K33" s="102">
        <v>0.23456779999999999</v>
      </c>
      <c r="L33" s="97">
        <f t="shared" si="6"/>
        <v>40.234567800000001</v>
      </c>
      <c r="M33" s="45"/>
      <c r="N33" s="45"/>
      <c r="O33" s="45"/>
      <c r="P33" s="45"/>
      <c r="Q33" s="45"/>
      <c r="R33" s="45"/>
      <c r="S33" s="45"/>
      <c r="T33" s="45"/>
      <c r="U33" s="45"/>
      <c r="V33" s="45"/>
      <c r="W33" s="45"/>
      <c r="X33" s="45"/>
      <c r="Y33" s="45"/>
      <c r="Z33" s="45"/>
      <c r="AA33" s="45"/>
      <c r="AB33" s="45"/>
      <c r="AC33" s="45"/>
      <c r="AD33" s="45"/>
      <c r="AE33" s="45"/>
      <c r="AF33" s="45"/>
    </row>
    <row r="34" spans="1:32" s="46" customFormat="1" ht="99" thickBot="1">
      <c r="A34" s="95" t="str">
        <f t="shared" si="7"/>
        <v>3c</v>
      </c>
      <c r="B34" s="222"/>
      <c r="C34" s="222"/>
      <c r="D34" s="223"/>
      <c r="E34" s="77" t="s">
        <v>41</v>
      </c>
      <c r="F34" s="79" t="s">
        <v>89</v>
      </c>
      <c r="G34" s="105" t="s">
        <v>36</v>
      </c>
      <c r="H34" s="107" t="s">
        <v>90</v>
      </c>
      <c r="I34" s="100" t="str">
        <f t="shared" si="2"/>
        <v>Mantenimiento del control</v>
      </c>
      <c r="J34" s="97">
        <f t="shared" si="5"/>
        <v>40</v>
      </c>
      <c r="K34" s="102">
        <v>0.23456789</v>
      </c>
      <c r="L34" s="97">
        <f t="shared" si="6"/>
        <v>40.234567890000001</v>
      </c>
      <c r="M34" s="45"/>
      <c r="N34" s="45"/>
      <c r="O34" s="45"/>
      <c r="P34" s="45"/>
      <c r="Q34" s="45"/>
      <c r="R34" s="45"/>
      <c r="S34" s="45"/>
      <c r="T34" s="45"/>
      <c r="U34" s="45"/>
      <c r="V34" s="45"/>
      <c r="W34" s="45"/>
      <c r="X34" s="45"/>
      <c r="Y34" s="45"/>
      <c r="Z34" s="45"/>
      <c r="AA34" s="45"/>
      <c r="AB34" s="45"/>
      <c r="AC34" s="45"/>
      <c r="AD34" s="45"/>
      <c r="AE34" s="45"/>
      <c r="AF34" s="45"/>
    </row>
    <row r="35" spans="1:32" s="46" customFormat="1" ht="103.5" customHeight="1">
      <c r="A35" s="95" t="str">
        <f>4&amp;E35</f>
        <v>4a</v>
      </c>
      <c r="B35" s="224" t="s">
        <v>91</v>
      </c>
      <c r="C35" s="211" t="s">
        <v>73</v>
      </c>
      <c r="D35" s="225" t="s">
        <v>92</v>
      </c>
      <c r="E35" s="75" t="s">
        <v>34</v>
      </c>
      <c r="F35" s="76" t="s">
        <v>93</v>
      </c>
      <c r="G35" s="103" t="s">
        <v>36</v>
      </c>
      <c r="H35" s="104" t="s">
        <v>94</v>
      </c>
      <c r="I35" s="96" t="str">
        <f t="shared" si="2"/>
        <v>Mantenimiento del control</v>
      </c>
      <c r="J35" s="97">
        <f t="shared" si="5"/>
        <v>40</v>
      </c>
      <c r="K35" s="102">
        <v>0.23456789119999999</v>
      </c>
      <c r="L35" s="97">
        <f t="shared" si="6"/>
        <v>40.234567891200001</v>
      </c>
      <c r="M35" s="45"/>
      <c r="N35" s="45"/>
      <c r="O35" s="45"/>
      <c r="P35" s="45"/>
      <c r="Q35" s="45"/>
    </row>
    <row r="36" spans="1:32" s="46" customFormat="1" ht="100.5" customHeight="1">
      <c r="A36" s="95" t="str">
        <f t="shared" ref="A36:A37" si="8">4&amp;E36</f>
        <v>4b</v>
      </c>
      <c r="B36" s="224"/>
      <c r="C36" s="211"/>
      <c r="D36" s="225"/>
      <c r="E36" s="77" t="s">
        <v>38</v>
      </c>
      <c r="F36" s="79" t="s">
        <v>95</v>
      </c>
      <c r="G36" s="105" t="s">
        <v>36</v>
      </c>
      <c r="H36" s="107" t="s">
        <v>96</v>
      </c>
      <c r="I36" s="100" t="str">
        <f t="shared" si="2"/>
        <v>Mantenimiento del control</v>
      </c>
      <c r="J36" s="97">
        <f t="shared" si="5"/>
        <v>40</v>
      </c>
      <c r="K36" s="102">
        <v>0.23456789122999999</v>
      </c>
      <c r="L36" s="97">
        <f t="shared" si="6"/>
        <v>40.23456789123</v>
      </c>
      <c r="M36" s="45"/>
      <c r="N36" s="45"/>
      <c r="O36" s="45"/>
      <c r="P36" s="45"/>
      <c r="Q36" s="45"/>
    </row>
    <row r="37" spans="1:32" s="46" customFormat="1" ht="99">
      <c r="A37" s="95" t="str">
        <f t="shared" si="8"/>
        <v>4c</v>
      </c>
      <c r="B37" s="224"/>
      <c r="C37" s="211"/>
      <c r="D37" s="225"/>
      <c r="E37" s="77" t="s">
        <v>41</v>
      </c>
      <c r="F37" s="79" t="s">
        <v>97</v>
      </c>
      <c r="G37" s="105" t="s">
        <v>98</v>
      </c>
      <c r="H37" s="107" t="s">
        <v>99</v>
      </c>
      <c r="I37" s="100" t="str">
        <f t="shared" si="2"/>
        <v>Deficiencia de control</v>
      </c>
      <c r="J37" s="97">
        <f t="shared" si="5"/>
        <v>20</v>
      </c>
      <c r="K37" s="102">
        <v>0.23456789123399999</v>
      </c>
      <c r="L37" s="97">
        <f t="shared" si="6"/>
        <v>20.234567891234001</v>
      </c>
      <c r="M37" s="45"/>
      <c r="N37" s="45"/>
      <c r="O37" s="45"/>
      <c r="P37" s="45"/>
      <c r="Q37" s="45"/>
    </row>
    <row r="38" spans="1:32" s="46" customFormat="1" ht="85.5" customHeight="1">
      <c r="A38" s="95" t="str">
        <f>5&amp;E38</f>
        <v>5a</v>
      </c>
      <c r="B38" s="226" t="s">
        <v>100</v>
      </c>
      <c r="C38" s="213" t="s">
        <v>101</v>
      </c>
      <c r="D38" s="229" t="s">
        <v>102</v>
      </c>
      <c r="E38" s="75" t="s">
        <v>34</v>
      </c>
      <c r="F38" s="76" t="s">
        <v>103</v>
      </c>
      <c r="G38" s="103" t="s">
        <v>36</v>
      </c>
      <c r="H38" s="104" t="s">
        <v>104</v>
      </c>
      <c r="I38" s="96" t="str">
        <f t="shared" si="2"/>
        <v>Mantenimiento del control</v>
      </c>
      <c r="J38" s="97">
        <f>+IF(G38="Si",60,IF(G38="En proceso",50,40))</f>
        <v>60</v>
      </c>
      <c r="K38" s="97">
        <v>0.31</v>
      </c>
      <c r="L38" s="97">
        <f t="shared" si="3"/>
        <v>60.31</v>
      </c>
    </row>
    <row r="39" spans="1:32" s="46" customFormat="1" ht="99">
      <c r="A39" s="95" t="str">
        <f t="shared" ref="A39:A42" si="9">5&amp;E39</f>
        <v>5b</v>
      </c>
      <c r="B39" s="227"/>
      <c r="C39" s="214"/>
      <c r="D39" s="230"/>
      <c r="E39" s="77" t="s">
        <v>38</v>
      </c>
      <c r="F39" s="79" t="s">
        <v>105</v>
      </c>
      <c r="G39" s="105" t="s">
        <v>36</v>
      </c>
      <c r="H39" s="107" t="s">
        <v>106</v>
      </c>
      <c r="I39" s="100" t="str">
        <f t="shared" si="2"/>
        <v>Mantenimiento del control</v>
      </c>
      <c r="J39" s="97">
        <f>+IF(G39="Si",60,IF(G39="En proceso",50,40))</f>
        <v>60</v>
      </c>
      <c r="K39" s="97">
        <v>0.32300000000000001</v>
      </c>
      <c r="L39" s="97">
        <f t="shared" si="3"/>
        <v>60.323</v>
      </c>
    </row>
    <row r="40" spans="1:32" s="46" customFormat="1" ht="132">
      <c r="A40" s="95" t="str">
        <f t="shared" si="9"/>
        <v>5c</v>
      </c>
      <c r="B40" s="227"/>
      <c r="C40" s="214"/>
      <c r="D40" s="230"/>
      <c r="E40" s="77" t="s">
        <v>41</v>
      </c>
      <c r="F40" s="79" t="s">
        <v>107</v>
      </c>
      <c r="G40" s="105" t="s">
        <v>36</v>
      </c>
      <c r="H40" s="107" t="s">
        <v>108</v>
      </c>
      <c r="I40" s="100" t="str">
        <f t="shared" si="2"/>
        <v>Mantenimiento del control</v>
      </c>
      <c r="J40" s="97">
        <f>+IF(G40="Si",60,IF(G40="En proceso",50,40))</f>
        <v>60</v>
      </c>
      <c r="K40" s="97">
        <v>0.32400000000000001</v>
      </c>
      <c r="L40" s="97">
        <f t="shared" si="3"/>
        <v>60.323999999999998</v>
      </c>
    </row>
    <row r="41" spans="1:32" s="46" customFormat="1" ht="117">
      <c r="A41" s="95" t="str">
        <f t="shared" si="9"/>
        <v>5d</v>
      </c>
      <c r="B41" s="227"/>
      <c r="C41" s="214"/>
      <c r="D41" s="230"/>
      <c r="E41" s="77" t="s">
        <v>44</v>
      </c>
      <c r="F41" s="79" t="s">
        <v>109</v>
      </c>
      <c r="G41" s="105" t="s">
        <v>36</v>
      </c>
      <c r="H41" s="107" t="s">
        <v>110</v>
      </c>
      <c r="I41" s="100" t="str">
        <f t="shared" si="2"/>
        <v>Mantenimiento del control</v>
      </c>
      <c r="J41" s="97">
        <f>+IF(G41="Si",60,IF(G41="En proceso",50,40))</f>
        <v>60</v>
      </c>
      <c r="K41" s="97">
        <v>0.32500000000000001</v>
      </c>
      <c r="L41" s="97">
        <f t="shared" si="3"/>
        <v>60.325000000000003</v>
      </c>
    </row>
    <row r="42" spans="1:32" s="46" customFormat="1" ht="99">
      <c r="A42" s="95" t="str">
        <f t="shared" si="9"/>
        <v>5e</v>
      </c>
      <c r="B42" s="228"/>
      <c r="C42" s="215"/>
      <c r="D42" s="231"/>
      <c r="E42" s="80" t="s">
        <v>48</v>
      </c>
      <c r="F42" s="81" t="s">
        <v>111</v>
      </c>
      <c r="G42" s="108" t="s">
        <v>36</v>
      </c>
      <c r="H42" s="109" t="s">
        <v>112</v>
      </c>
      <c r="I42" s="101" t="str">
        <f t="shared" si="2"/>
        <v>Mantenimiento del control</v>
      </c>
      <c r="J42" s="97">
        <f>+IF(G42="Si",60,IF(G42="En proceso",50,40))</f>
        <v>60</v>
      </c>
      <c r="K42" s="97">
        <v>0.32600000000000001</v>
      </c>
      <c r="L42" s="97">
        <f t="shared" si="3"/>
        <v>60.326000000000001</v>
      </c>
    </row>
    <row r="43" spans="1:32" s="46" customFormat="1" ht="40.5" customHeight="1">
      <c r="A43" s="95" t="str">
        <f>6&amp;E43</f>
        <v>6a</v>
      </c>
      <c r="B43" s="236" t="s">
        <v>113</v>
      </c>
      <c r="C43" s="216" t="s">
        <v>114</v>
      </c>
      <c r="D43" s="233" t="s">
        <v>115</v>
      </c>
      <c r="E43" s="75" t="s">
        <v>34</v>
      </c>
      <c r="F43" s="76" t="s">
        <v>116</v>
      </c>
      <c r="G43" s="103" t="s">
        <v>36</v>
      </c>
      <c r="H43" s="104" t="s">
        <v>117</v>
      </c>
      <c r="I43" s="96" t="str">
        <f t="shared" si="2"/>
        <v>Mantenimiento del control</v>
      </c>
      <c r="J43" s="97">
        <f t="shared" ref="J43:J49" si="10">+IF(G43="Si",80,IF(G43="En proceso",70,60))</f>
        <v>80</v>
      </c>
      <c r="K43" s="97">
        <v>0.41199999999999998</v>
      </c>
      <c r="L43" s="97">
        <f t="shared" si="3"/>
        <v>80.412000000000006</v>
      </c>
    </row>
    <row r="44" spans="1:32" s="46" customFormat="1" ht="66">
      <c r="A44" s="95" t="str">
        <f t="shared" ref="A44:A49" si="11">6&amp;E44</f>
        <v>6b</v>
      </c>
      <c r="B44" s="237"/>
      <c r="C44" s="217"/>
      <c r="D44" s="234"/>
      <c r="E44" s="77" t="s">
        <v>38</v>
      </c>
      <c r="F44" s="79" t="s">
        <v>118</v>
      </c>
      <c r="G44" s="105" t="s">
        <v>36</v>
      </c>
      <c r="H44" s="107" t="s">
        <v>119</v>
      </c>
      <c r="I44" s="100" t="str">
        <f t="shared" si="2"/>
        <v>Mantenimiento del control</v>
      </c>
      <c r="J44" s="97">
        <f t="shared" si="10"/>
        <v>80</v>
      </c>
      <c r="K44" s="97">
        <v>0.4123</v>
      </c>
      <c r="L44" s="97">
        <f t="shared" si="3"/>
        <v>80.412300000000002</v>
      </c>
    </row>
    <row r="45" spans="1:32" s="46" customFormat="1" ht="50.25">
      <c r="A45" s="95" t="str">
        <f t="shared" si="11"/>
        <v>6c</v>
      </c>
      <c r="B45" s="237"/>
      <c r="C45" s="217"/>
      <c r="D45" s="234"/>
      <c r="E45" s="77" t="s">
        <v>41</v>
      </c>
      <c r="F45" s="79" t="s">
        <v>120</v>
      </c>
      <c r="G45" s="105" t="s">
        <v>36</v>
      </c>
      <c r="H45" s="107" t="s">
        <v>121</v>
      </c>
      <c r="I45" s="100" t="str">
        <f t="shared" si="2"/>
        <v>Mantenimiento del control</v>
      </c>
      <c r="J45" s="97">
        <f t="shared" si="10"/>
        <v>80</v>
      </c>
      <c r="K45" s="97">
        <v>0.41233999999999998</v>
      </c>
      <c r="L45" s="97">
        <f t="shared" si="3"/>
        <v>80.41234</v>
      </c>
    </row>
    <row r="46" spans="1:32" s="46" customFormat="1" ht="99">
      <c r="A46" s="95" t="str">
        <f t="shared" si="11"/>
        <v>6d</v>
      </c>
      <c r="B46" s="237"/>
      <c r="C46" s="217"/>
      <c r="D46" s="234"/>
      <c r="E46" s="77" t="s">
        <v>44</v>
      </c>
      <c r="F46" s="79" t="s">
        <v>122</v>
      </c>
      <c r="G46" s="105" t="s">
        <v>36</v>
      </c>
      <c r="H46" s="107" t="s">
        <v>123</v>
      </c>
      <c r="I46" s="100" t="str">
        <f t="shared" si="2"/>
        <v>Mantenimiento del control</v>
      </c>
      <c r="J46" s="97">
        <f t="shared" si="10"/>
        <v>80</v>
      </c>
      <c r="K46" s="97">
        <v>0.41234500000000002</v>
      </c>
      <c r="L46" s="97">
        <f t="shared" si="3"/>
        <v>80.412345000000002</v>
      </c>
    </row>
    <row r="47" spans="1:32" s="46" customFormat="1" ht="115.5">
      <c r="A47" s="95" t="str">
        <f t="shared" si="11"/>
        <v>6e</v>
      </c>
      <c r="B47" s="237"/>
      <c r="C47" s="217"/>
      <c r="D47" s="234"/>
      <c r="E47" s="77" t="s">
        <v>48</v>
      </c>
      <c r="F47" s="79" t="s">
        <v>124</v>
      </c>
      <c r="G47" s="105" t="s">
        <v>36</v>
      </c>
      <c r="H47" s="107" t="s">
        <v>125</v>
      </c>
      <c r="I47" s="100" t="str">
        <f t="shared" si="2"/>
        <v>Mantenimiento del control</v>
      </c>
      <c r="J47" s="97">
        <f t="shared" si="10"/>
        <v>80</v>
      </c>
      <c r="K47" s="97">
        <v>0.41234559999999998</v>
      </c>
      <c r="L47" s="97">
        <f t="shared" si="3"/>
        <v>80.412345599999995</v>
      </c>
    </row>
    <row r="48" spans="1:32" s="46" customFormat="1" ht="127.5" customHeight="1">
      <c r="A48" s="95" t="str">
        <f t="shared" si="11"/>
        <v>6f</v>
      </c>
      <c r="B48" s="237"/>
      <c r="C48" s="217"/>
      <c r="D48" s="234"/>
      <c r="E48" s="77" t="s">
        <v>51</v>
      </c>
      <c r="F48" s="79" t="s">
        <v>126</v>
      </c>
      <c r="G48" s="105" t="s">
        <v>36</v>
      </c>
      <c r="H48" s="107" t="s">
        <v>127</v>
      </c>
      <c r="I48" s="100" t="str">
        <f t="shared" si="2"/>
        <v>Mantenimiento del control</v>
      </c>
      <c r="J48" s="97">
        <f t="shared" si="10"/>
        <v>80</v>
      </c>
      <c r="K48" s="97">
        <v>0.41234567</v>
      </c>
      <c r="L48" s="97">
        <f t="shared" si="3"/>
        <v>80.412345669999993</v>
      </c>
    </row>
    <row r="49" spans="1:17" s="46" customFormat="1" ht="82.5">
      <c r="A49" s="95" t="str">
        <f t="shared" si="11"/>
        <v>6g</v>
      </c>
      <c r="B49" s="238"/>
      <c r="C49" s="218"/>
      <c r="D49" s="235"/>
      <c r="E49" s="80" t="s">
        <v>54</v>
      </c>
      <c r="F49" s="81" t="s">
        <v>128</v>
      </c>
      <c r="G49" s="108" t="s">
        <v>36</v>
      </c>
      <c r="H49" s="109" t="s">
        <v>129</v>
      </c>
      <c r="I49" s="101" t="str">
        <f t="shared" si="2"/>
        <v>Mantenimiento del control</v>
      </c>
      <c r="J49" s="97">
        <f t="shared" si="10"/>
        <v>80</v>
      </c>
      <c r="K49" s="97">
        <v>0.41234567799999999</v>
      </c>
      <c r="L49" s="97">
        <f t="shared" si="3"/>
        <v>80.412345677999994</v>
      </c>
    </row>
    <row r="50" spans="1:17" s="46" customFormat="1" ht="54.75" customHeight="1">
      <c r="A50" s="95" t="str">
        <f>7&amp;E50</f>
        <v>7a</v>
      </c>
      <c r="B50" s="204" t="s">
        <v>130</v>
      </c>
      <c r="C50" s="219" t="s">
        <v>131</v>
      </c>
      <c r="D50" s="201" t="s">
        <v>132</v>
      </c>
      <c r="E50" s="75" t="s">
        <v>34</v>
      </c>
      <c r="F50" s="76" t="s">
        <v>133</v>
      </c>
      <c r="G50" s="103" t="s">
        <v>36</v>
      </c>
      <c r="H50" s="104" t="s">
        <v>134</v>
      </c>
      <c r="I50" s="96" t="str">
        <f t="shared" si="2"/>
        <v>Mantenimiento del control</v>
      </c>
      <c r="J50" s="97">
        <f>+IF(G50="Si",120,IF(G50="En proceso",100,80))</f>
        <v>120</v>
      </c>
      <c r="K50" s="97">
        <v>0.85099999999999998</v>
      </c>
      <c r="L50" s="97">
        <f t="shared" si="3"/>
        <v>120.851</v>
      </c>
    </row>
    <row r="51" spans="1:17" s="46" customFormat="1" ht="117">
      <c r="A51" s="95" t="str">
        <f t="shared" ref="A51:A53" si="12">7&amp;E51</f>
        <v>7d</v>
      </c>
      <c r="B51" s="205"/>
      <c r="C51" s="220"/>
      <c r="D51" s="202"/>
      <c r="E51" s="77" t="s">
        <v>44</v>
      </c>
      <c r="F51" s="79" t="s">
        <v>135</v>
      </c>
      <c r="G51" s="105" t="s">
        <v>36</v>
      </c>
      <c r="H51" s="107" t="s">
        <v>136</v>
      </c>
      <c r="I51" s="100" t="str">
        <f t="shared" si="2"/>
        <v>Mantenimiento del control</v>
      </c>
      <c r="J51" s="97">
        <f t="shared" ref="J51:J59" si="13">+IF(G51="Si",120,IF(G51="En proceso",100,80))</f>
        <v>120</v>
      </c>
      <c r="K51" s="97">
        <v>0.85119999999999996</v>
      </c>
      <c r="L51" s="97">
        <f t="shared" si="3"/>
        <v>120.85120000000001</v>
      </c>
    </row>
    <row r="52" spans="1:17" s="46" customFormat="1" ht="132">
      <c r="A52" s="95" t="str">
        <f t="shared" si="12"/>
        <v>7f</v>
      </c>
      <c r="B52" s="205"/>
      <c r="C52" s="220"/>
      <c r="D52" s="202"/>
      <c r="E52" s="77" t="s">
        <v>51</v>
      </c>
      <c r="F52" s="79" t="s">
        <v>137</v>
      </c>
      <c r="G52" s="105" t="s">
        <v>36</v>
      </c>
      <c r="H52" s="107" t="s">
        <v>138</v>
      </c>
      <c r="I52" s="100" t="str">
        <f t="shared" si="2"/>
        <v>Mantenimiento del control</v>
      </c>
      <c r="J52" s="97">
        <f t="shared" si="13"/>
        <v>120</v>
      </c>
      <c r="K52" s="97">
        <v>0.85123000000000004</v>
      </c>
      <c r="L52" s="97">
        <f t="shared" si="3"/>
        <v>120.85123</v>
      </c>
    </row>
    <row r="53" spans="1:17" s="46" customFormat="1" ht="132">
      <c r="A53" s="95" t="str">
        <f t="shared" si="12"/>
        <v>7g</v>
      </c>
      <c r="B53" s="206"/>
      <c r="C53" s="221"/>
      <c r="D53" s="239"/>
      <c r="E53" s="80" t="s">
        <v>54</v>
      </c>
      <c r="F53" s="81" t="s">
        <v>139</v>
      </c>
      <c r="G53" s="108" t="s">
        <v>36</v>
      </c>
      <c r="H53" s="109" t="s">
        <v>140</v>
      </c>
      <c r="I53" s="101" t="str">
        <f t="shared" si="2"/>
        <v>Mantenimiento del control</v>
      </c>
      <c r="J53" s="97">
        <f t="shared" si="13"/>
        <v>120</v>
      </c>
      <c r="K53" s="97">
        <v>0.85123400000000005</v>
      </c>
      <c r="L53" s="97">
        <f t="shared" si="3"/>
        <v>120.85123400000001</v>
      </c>
    </row>
    <row r="54" spans="1:17" s="46" customFormat="1" ht="102.75" customHeight="1" thickBot="1">
      <c r="A54" s="95" t="str">
        <f>8&amp;E54</f>
        <v>8h</v>
      </c>
      <c r="B54" s="150" t="s">
        <v>141</v>
      </c>
      <c r="C54" s="151" t="s">
        <v>131</v>
      </c>
      <c r="D54" s="70" t="s">
        <v>142</v>
      </c>
      <c r="E54" s="75" t="s">
        <v>57</v>
      </c>
      <c r="F54" s="76" t="s">
        <v>143</v>
      </c>
      <c r="G54" s="103" t="s">
        <v>36</v>
      </c>
      <c r="H54" s="104" t="s">
        <v>144</v>
      </c>
      <c r="I54" s="96" t="str">
        <f t="shared" si="2"/>
        <v>Mantenimiento del control</v>
      </c>
      <c r="J54" s="97">
        <f t="shared" si="13"/>
        <v>120</v>
      </c>
      <c r="K54" s="97">
        <v>0.85123450000000001</v>
      </c>
      <c r="L54" s="97">
        <f t="shared" si="3"/>
        <v>120.8512345</v>
      </c>
    </row>
    <row r="55" spans="1:17" s="46" customFormat="1" ht="82.5">
      <c r="A55" s="95" t="str">
        <f>9&amp;E55</f>
        <v>9a</v>
      </c>
      <c r="B55" s="204" t="s">
        <v>145</v>
      </c>
      <c r="C55" s="219" t="s">
        <v>131</v>
      </c>
      <c r="D55" s="201" t="s">
        <v>146</v>
      </c>
      <c r="E55" s="75" t="s">
        <v>34</v>
      </c>
      <c r="F55" s="76" t="s">
        <v>147</v>
      </c>
      <c r="G55" s="103" t="s">
        <v>36</v>
      </c>
      <c r="H55" s="104" t="s">
        <v>148</v>
      </c>
      <c r="I55" s="96" t="str">
        <f t="shared" si="2"/>
        <v>Mantenimiento del control</v>
      </c>
      <c r="J55" s="97">
        <f t="shared" si="13"/>
        <v>120</v>
      </c>
      <c r="K55" s="102">
        <v>0.85123455999999997</v>
      </c>
      <c r="L55" s="97">
        <f t="shared" si="3"/>
        <v>120.85123455999999</v>
      </c>
      <c r="M55" s="45"/>
      <c r="N55" s="45"/>
      <c r="O55" s="45"/>
      <c r="P55" s="45"/>
      <c r="Q55" s="45"/>
    </row>
    <row r="56" spans="1:17" s="46" customFormat="1" ht="78" customHeight="1">
      <c r="A56" s="95" t="str">
        <f t="shared" ref="A56:A59" si="14">9&amp;E56</f>
        <v>9b</v>
      </c>
      <c r="B56" s="205"/>
      <c r="C56" s="220"/>
      <c r="D56" s="202"/>
      <c r="E56" s="77" t="s">
        <v>38</v>
      </c>
      <c r="F56" s="79" t="s">
        <v>149</v>
      </c>
      <c r="G56" s="105" t="s">
        <v>36</v>
      </c>
      <c r="H56" s="107" t="s">
        <v>150</v>
      </c>
      <c r="I56" s="100" t="str">
        <f t="shared" si="2"/>
        <v>Mantenimiento del control</v>
      </c>
      <c r="J56" s="97">
        <f t="shared" si="13"/>
        <v>120</v>
      </c>
      <c r="K56" s="102">
        <v>0.851234567</v>
      </c>
      <c r="L56" s="97">
        <f t="shared" si="3"/>
        <v>120.85123456700001</v>
      </c>
      <c r="M56" s="45"/>
      <c r="N56" s="45"/>
      <c r="O56" s="45"/>
      <c r="P56" s="45"/>
      <c r="Q56" s="45"/>
    </row>
    <row r="57" spans="1:17" s="46" customFormat="1" ht="77.25" customHeight="1">
      <c r="A57" s="95" t="str">
        <f t="shared" si="14"/>
        <v>9c</v>
      </c>
      <c r="B57" s="205"/>
      <c r="C57" s="220"/>
      <c r="D57" s="202"/>
      <c r="E57" s="77" t="s">
        <v>41</v>
      </c>
      <c r="F57" s="79" t="s">
        <v>151</v>
      </c>
      <c r="G57" s="105" t="s">
        <v>36</v>
      </c>
      <c r="H57" s="107" t="s">
        <v>152</v>
      </c>
      <c r="I57" s="100" t="str">
        <f t="shared" si="2"/>
        <v>Mantenimiento del control</v>
      </c>
      <c r="J57" s="97">
        <f t="shared" si="13"/>
        <v>120</v>
      </c>
      <c r="K57" s="102">
        <v>0.85123456779999995</v>
      </c>
      <c r="L57" s="97">
        <f t="shared" si="3"/>
        <v>120.85123456780001</v>
      </c>
      <c r="M57" s="45"/>
      <c r="N57" s="45"/>
      <c r="O57" s="45"/>
      <c r="P57" s="45"/>
      <c r="Q57" s="45"/>
    </row>
    <row r="58" spans="1:17" s="46" customFormat="1" ht="77.25" customHeight="1">
      <c r="A58" s="95" t="str">
        <f t="shared" si="14"/>
        <v>9d</v>
      </c>
      <c r="B58" s="205"/>
      <c r="C58" s="220"/>
      <c r="D58" s="202"/>
      <c r="E58" s="77" t="s">
        <v>44</v>
      </c>
      <c r="F58" s="79" t="s">
        <v>153</v>
      </c>
      <c r="G58" s="105" t="s">
        <v>36</v>
      </c>
      <c r="H58" s="107" t="s">
        <v>154</v>
      </c>
      <c r="I58" s="100" t="str">
        <f t="shared" si="2"/>
        <v>Mantenimiento del control</v>
      </c>
      <c r="J58" s="97">
        <f t="shared" si="13"/>
        <v>120</v>
      </c>
      <c r="K58" s="102">
        <v>0.85123456788999996</v>
      </c>
      <c r="L58" s="97">
        <f t="shared" si="3"/>
        <v>120.85123456789</v>
      </c>
      <c r="M58" s="45"/>
      <c r="N58" s="45"/>
      <c r="O58" s="45"/>
      <c r="P58" s="45"/>
      <c r="Q58" s="45"/>
    </row>
    <row r="59" spans="1:17" s="46" customFormat="1" ht="77.25" customHeight="1" thickBot="1">
      <c r="A59" s="95" t="str">
        <f t="shared" si="14"/>
        <v>9e</v>
      </c>
      <c r="B59" s="206"/>
      <c r="C59" s="220"/>
      <c r="D59" s="203"/>
      <c r="E59" s="80" t="s">
        <v>48</v>
      </c>
      <c r="F59" s="81" t="s">
        <v>155</v>
      </c>
      <c r="G59" s="108" t="s">
        <v>36</v>
      </c>
      <c r="H59" s="107" t="s">
        <v>156</v>
      </c>
      <c r="I59" s="101" t="str">
        <f t="shared" si="2"/>
        <v>Mantenimiento del control</v>
      </c>
      <c r="J59" s="97">
        <f t="shared" si="13"/>
        <v>120</v>
      </c>
      <c r="K59" s="102">
        <v>0.85123456789100005</v>
      </c>
      <c r="L59" s="97">
        <f t="shared" si="3"/>
        <v>120.851234567891</v>
      </c>
      <c r="M59" s="45"/>
      <c r="N59" s="45"/>
      <c r="O59" s="45"/>
      <c r="P59" s="45"/>
      <c r="Q59" s="45"/>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xr:uid="{00000000-0002-0000-0100-000000000000}">
      <formula1>"Si, No, En proceso"</formula1>
    </dataValidation>
    <dataValidation type="list" allowBlank="1" showInputMessage="1" showErrorMessage="1" sqref="G54" xr:uid="{00000000-0002-0000-0100-000001000000}">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74"/>
  <sheetViews>
    <sheetView zoomScale="80" zoomScaleNormal="80" workbookViewId="0">
      <selection activeCell="J19" sqref="I19:J30"/>
    </sheetView>
  </sheetViews>
  <sheetFormatPr defaultColWidth="11.42578125" defaultRowHeight="14.4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c r="A1" s="1"/>
      <c r="B1" s="1"/>
      <c r="C1" s="1"/>
      <c r="D1" s="1"/>
      <c r="E1" s="1"/>
      <c r="F1" s="1"/>
      <c r="G1" s="1"/>
      <c r="H1" s="1"/>
      <c r="I1" s="1"/>
      <c r="J1" s="1"/>
    </row>
    <row r="2" spans="1:11" s="1" customFormat="1"/>
    <row r="3" spans="1:11" s="1" customFormat="1"/>
    <row r="4" spans="1:11">
      <c r="A4" s="1"/>
      <c r="B4" s="1"/>
      <c r="C4" s="1"/>
      <c r="D4" s="1"/>
      <c r="E4" s="1"/>
      <c r="F4" s="1"/>
      <c r="G4" s="1"/>
      <c r="H4" s="1"/>
      <c r="I4" s="1"/>
      <c r="J4" s="1"/>
    </row>
    <row r="5" spans="1:11">
      <c r="A5" s="1"/>
      <c r="B5" s="1"/>
      <c r="C5" s="1"/>
      <c r="D5" s="1"/>
      <c r="E5" s="1"/>
      <c r="F5" s="1"/>
      <c r="G5" s="1"/>
      <c r="H5" s="1"/>
      <c r="I5" s="1"/>
      <c r="J5" s="1"/>
    </row>
    <row r="6" spans="1:11" ht="15" thickBot="1">
      <c r="A6" s="1"/>
      <c r="B6" s="1"/>
      <c r="C6" s="1"/>
      <c r="D6" s="1"/>
      <c r="E6" s="1"/>
      <c r="F6" s="1"/>
      <c r="G6" s="1"/>
      <c r="H6" s="1"/>
      <c r="I6" s="1"/>
      <c r="J6" s="1"/>
    </row>
    <row r="7" spans="1:11" ht="25.9" thickBot="1">
      <c r="A7" s="1"/>
      <c r="B7" s="1"/>
      <c r="C7" s="282" t="s">
        <v>157</v>
      </c>
      <c r="D7" s="283"/>
      <c r="E7" s="283"/>
      <c r="F7" s="283"/>
      <c r="G7" s="283"/>
      <c r="H7" s="283"/>
      <c r="I7" s="283"/>
      <c r="J7" s="283"/>
      <c r="K7" s="284"/>
    </row>
    <row r="8" spans="1:11" s="1" customFormat="1" ht="15" thickBot="1">
      <c r="C8" s="36"/>
      <c r="D8" s="36"/>
      <c r="E8" s="37"/>
      <c r="F8" s="37"/>
      <c r="G8" s="37"/>
      <c r="H8" s="37"/>
      <c r="I8" s="47"/>
      <c r="J8" s="37"/>
      <c r="K8" s="37"/>
    </row>
    <row r="9" spans="1:11" ht="21" thickBot="1">
      <c r="A9" s="1"/>
      <c r="B9" s="1"/>
      <c r="C9" s="184" t="s">
        <v>15</v>
      </c>
      <c r="D9" s="185"/>
      <c r="E9" s="185" t="s">
        <v>16</v>
      </c>
      <c r="F9" s="196"/>
      <c r="G9" s="37"/>
      <c r="H9" s="37"/>
      <c r="I9" s="47"/>
      <c r="J9" s="37"/>
      <c r="K9" s="37"/>
    </row>
    <row r="10" spans="1:11" ht="54" customHeight="1">
      <c r="A10" s="1"/>
      <c r="B10" s="1"/>
      <c r="C10" s="197" t="s">
        <v>17</v>
      </c>
      <c r="D10" s="198"/>
      <c r="E10" s="199" t="s">
        <v>18</v>
      </c>
      <c r="F10" s="200"/>
      <c r="G10" s="38"/>
      <c r="H10" s="39">
        <v>1</v>
      </c>
      <c r="I10" s="47"/>
      <c r="J10" s="37"/>
      <c r="K10" s="37"/>
    </row>
    <row r="11" spans="1:11" ht="46.5" customHeight="1">
      <c r="A11" s="1"/>
      <c r="B11" s="1"/>
      <c r="C11" s="186" t="s">
        <v>19</v>
      </c>
      <c r="D11" s="187"/>
      <c r="E11" s="188" t="s">
        <v>158</v>
      </c>
      <c r="F11" s="189"/>
      <c r="G11" s="40" t="s">
        <v>159</v>
      </c>
      <c r="H11" s="39">
        <v>0.75</v>
      </c>
      <c r="I11" s="47"/>
      <c r="J11" s="37"/>
      <c r="K11" s="37"/>
    </row>
    <row r="12" spans="1:11" ht="70.5" customHeight="1" thickBot="1">
      <c r="A12" s="1"/>
      <c r="B12" s="1"/>
      <c r="C12" s="190" t="s">
        <v>21</v>
      </c>
      <c r="D12" s="191"/>
      <c r="E12" s="192" t="s">
        <v>160</v>
      </c>
      <c r="F12" s="193"/>
      <c r="G12" s="41"/>
      <c r="H12" s="39">
        <v>0.25</v>
      </c>
      <c r="I12" s="47"/>
      <c r="J12" s="37"/>
      <c r="K12" s="37"/>
    </row>
    <row r="13" spans="1:11" s="1" customFormat="1"/>
    <row r="14" spans="1:11" s="1" customFormat="1"/>
    <row r="15" spans="1:11" s="1" customFormat="1"/>
    <row r="16" spans="1:11" s="1" customFormat="1" ht="15" thickBot="1"/>
    <row r="17" spans="1:10">
      <c r="A17" s="1"/>
      <c r="B17" s="1"/>
      <c r="C17" s="274" t="s">
        <v>161</v>
      </c>
      <c r="D17" s="276" t="s">
        <v>162</v>
      </c>
      <c r="E17" s="277"/>
      <c r="F17" s="278" t="s">
        <v>163</v>
      </c>
      <c r="G17" s="280" t="s">
        <v>164</v>
      </c>
      <c r="H17" s="35"/>
      <c r="I17" s="269" t="s">
        <v>165</v>
      </c>
      <c r="J17" s="269" t="s">
        <v>166</v>
      </c>
    </row>
    <row r="18" spans="1:10" ht="36" customHeight="1" thickBot="1">
      <c r="A18" s="1"/>
      <c r="B18" s="1"/>
      <c r="C18" s="275"/>
      <c r="D18" s="110" t="s">
        <v>167</v>
      </c>
      <c r="E18" s="111" t="s">
        <v>27</v>
      </c>
      <c r="F18" s="279"/>
      <c r="G18" s="281"/>
      <c r="H18" s="35"/>
      <c r="I18" s="270"/>
      <c r="J18" s="270"/>
    </row>
    <row r="19" spans="1:10" ht="65.25" customHeight="1">
      <c r="A19" s="1"/>
      <c r="B19" s="1"/>
      <c r="C19" s="129">
        <v>1</v>
      </c>
      <c r="D19" s="271" t="s">
        <v>32</v>
      </c>
      <c r="E19" s="112" t="str">
        <f>+IFERROR(INDEX(Hoja1!$E$2:$E$45,MATCH('Análisis Resultados'!C19,Hoja1!$H$2:$H$45,0)),"")</f>
        <v>Una estructura organizacional formalizada (organigrama)</v>
      </c>
      <c r="F19" s="113" t="str">
        <f>+IFERROR(VLOOKUP(C19,Hoja1!$H$2:$I$45,2,0),"")</f>
        <v>En proceso</v>
      </c>
      <c r="G19" s="114"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I19" s="130">
        <f>+IF(F19="Si",1,IF(F19="En proceso",0.5,0))</f>
        <v>0.5</v>
      </c>
      <c r="J19" s="253">
        <f>+AVERAGE(I19:I30)</f>
        <v>0.875</v>
      </c>
    </row>
    <row r="20" spans="1:10" ht="41.45">
      <c r="A20" s="1"/>
      <c r="B20" s="1"/>
      <c r="C20" s="129">
        <v>2</v>
      </c>
      <c r="D20" s="272"/>
      <c r="E20" s="115" t="str">
        <f>+IFERROR(INDEX(Hoja1!$E$2:$E$45,MATCH('Análisis Resultados'!C20,Hoja1!$H$2:$H$45,0)),"")</f>
        <v>Un manual de funciones que describa los empleos de la entidad</v>
      </c>
      <c r="F20" s="116" t="str">
        <f>+IFERROR(VLOOKUP(C20,Hoja1!$H$2:$I$45,2,0),"")</f>
        <v>En proceso</v>
      </c>
      <c r="G20" s="117"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I20" s="131">
        <f t="shared" ref="I20:I62" si="1">+IF(F20="Si",1,IF(F20="En proceso",0.5,0))</f>
        <v>0.5</v>
      </c>
      <c r="J20" s="254"/>
    </row>
    <row r="21" spans="1:10" ht="41.45">
      <c r="A21" s="1"/>
      <c r="B21" s="1"/>
      <c r="C21" s="129">
        <v>3</v>
      </c>
      <c r="D21" s="272"/>
      <c r="E21" s="115" t="str">
        <f>+IFERROR(INDEX(Hoja1!$E$2:$E$45,MATCH('Análisis Resultados'!C21,Hoja1!$H$2:$H$45,0)),"")</f>
        <v>Procesos de inducción, capacitación y bienestar social para sus servidores públicos, de manera directa o en asociación con otras entidades municipales</v>
      </c>
      <c r="F21" s="116" t="str">
        <f>+IFERROR(VLOOKUP(C21,Hoja1!$H$2:$I$45,2,0),"")</f>
        <v>En proceso</v>
      </c>
      <c r="G21" s="117" t="str">
        <f t="shared" si="0"/>
        <v>Se encuentra en proceso, pero requiere continuar con acciones dirigidas a contar con dicho aspecto de control.</v>
      </c>
      <c r="I21" s="131">
        <f t="shared" si="1"/>
        <v>0.5</v>
      </c>
      <c r="J21" s="254"/>
    </row>
    <row r="22" spans="1:10" ht="56.25" customHeight="1">
      <c r="A22" s="1"/>
      <c r="B22" s="1"/>
      <c r="C22" s="129">
        <v>4</v>
      </c>
      <c r="D22" s="272"/>
      <c r="E22" s="115" t="str">
        <f>+IFERROR(INDEX(Hoja1!$E$2:$E$45,MATCH('Análisis Resultados'!C22,Hoja1!$H$2:$H$45,0)),"")</f>
        <v>Documento interno o adopción del MECI actualizado</v>
      </c>
      <c r="F22" s="116" t="str">
        <f>+IFERROR(VLOOKUP(C22,Hoja1!$H$2:$I$45,2,0),"")</f>
        <v>Si</v>
      </c>
      <c r="G22" s="117" t="str">
        <f t="shared" si="0"/>
        <v>Existe requerimiento pero se requiere actividades  dirigidas a su mantenimiento dentro del marco de las lineas de defensa.</v>
      </c>
      <c r="I22" s="131">
        <f t="shared" si="1"/>
        <v>1</v>
      </c>
      <c r="J22" s="254"/>
    </row>
    <row r="23" spans="1:10" ht="30.6">
      <c r="A23" s="1"/>
      <c r="B23" s="1"/>
      <c r="C23" s="129">
        <v>5</v>
      </c>
      <c r="D23" s="272"/>
      <c r="E23" s="115" t="str">
        <f>+IFERROR(INDEX(Hoja1!$E$2:$E$45,MATCH('Análisis Resultados'!C23,Hoja1!$H$2:$H$45,0)),"")</f>
        <v>Un documento tal como un código de ética, integridad u otro que formalice los estándares de conducta, los principios institucionales o los valores del servicio público</v>
      </c>
      <c r="F23" s="116" t="str">
        <f>+IFERROR(VLOOKUP(C23,Hoja1!$H$2:$I$45,2,0),"")</f>
        <v>Si</v>
      </c>
      <c r="G23" s="117" t="str">
        <f t="shared" si="0"/>
        <v>Existe requerimiento pero se requiere actividades  dirigidas a su mantenimiento dentro del marco de las lineas de defensa.</v>
      </c>
      <c r="I23" s="131">
        <f t="shared" si="1"/>
        <v>1</v>
      </c>
      <c r="J23" s="254"/>
    </row>
    <row r="24" spans="1:10" ht="41.45">
      <c r="A24" s="1"/>
      <c r="B24" s="1"/>
      <c r="C24" s="129">
        <v>6</v>
      </c>
      <c r="D24" s="272"/>
      <c r="E24" s="115" t="str">
        <f>+IFERROR(INDEX(Hoja1!$E$2:$E$45,MATCH('Análisis Resultados'!C24,Hoja1!$H$2:$H$45,0)),"")</f>
        <v>Planes, programas y proyectos de acuerdo con las normas que rigen y atendiendo con su propósito fundamental institucional (misión)</v>
      </c>
      <c r="F24" s="116" t="str">
        <f>+IFERROR(VLOOKUP(C24,Hoja1!$H$2:$I$45,2,0),"")</f>
        <v>Si</v>
      </c>
      <c r="G24" s="117" t="str">
        <f t="shared" si="0"/>
        <v>Existe requerimiento pero se requiere actividades  dirigidas a su mantenimiento dentro del marco de las lineas de defensa.</v>
      </c>
      <c r="I24" s="131">
        <f t="shared" si="1"/>
        <v>1</v>
      </c>
      <c r="J24" s="254"/>
    </row>
    <row r="25" spans="1:10" ht="41.45">
      <c r="A25" s="1"/>
      <c r="B25" s="1"/>
      <c r="C25" s="129">
        <v>7</v>
      </c>
      <c r="D25" s="272"/>
      <c r="E25" s="115" t="str">
        <f>+IFERROR(INDEX(Hoja1!$E$2:$E$45,MATCH('Análisis Resultados'!C25,Hoja1!$H$2:$H$45,0)),"")</f>
        <v>La documentación de sus procesos y procedimientos o bien una lista de actividades principales que permitan conocer el estado de su gestión</v>
      </c>
      <c r="F25" s="116" t="str">
        <f>+IFERROR(VLOOKUP(C25,Hoja1!$H$2:$I$45,2,0),"")</f>
        <v>Si</v>
      </c>
      <c r="G25" s="117" t="str">
        <f t="shared" si="0"/>
        <v>Existe requerimiento pero se requiere actividades  dirigidas a su mantenimiento dentro del marco de las lineas de defensa.</v>
      </c>
      <c r="I25" s="131">
        <f t="shared" si="1"/>
        <v>1</v>
      </c>
      <c r="J25" s="254"/>
    </row>
    <row r="26" spans="1:10" ht="41.45">
      <c r="A26" s="1"/>
      <c r="B26" s="1"/>
      <c r="C26" s="129">
        <v>8</v>
      </c>
      <c r="D26" s="272"/>
      <c r="E26" s="115" t="str">
        <f>+IFERROR(INDEX(Hoja1!$E$2:$E$45,MATCH('Análisis Resultados'!C26,Hoja1!$H$2:$H$45,0)),"")</f>
        <v>Vinculación de los servidores públicos de acuerdo con el marco normativo que les rige (carrera administrativa, libre nombramiento y remoción, entre otros)</v>
      </c>
      <c r="F26" s="116" t="str">
        <f>+IFERROR(VLOOKUP(C26,Hoja1!$H$2:$I$45,2,0),"")</f>
        <v>Si</v>
      </c>
      <c r="G26" s="117" t="str">
        <f t="shared" si="0"/>
        <v>Existe requerimiento pero se requiere actividades  dirigidas a su mantenimiento dentro del marco de las lineas de defensa.</v>
      </c>
      <c r="I26" s="131">
        <f t="shared" si="1"/>
        <v>1</v>
      </c>
      <c r="J26" s="254"/>
    </row>
    <row r="27" spans="1:10" ht="30.6">
      <c r="A27" s="1"/>
      <c r="B27" s="1"/>
      <c r="C27" s="129">
        <v>9</v>
      </c>
      <c r="D27" s="272"/>
      <c r="E27" s="115" t="str">
        <f>+IFERROR(INDEX(Hoja1!$E$2:$E$45,MATCH('Análisis Resultados'!C27,Hoja1!$H$2:$H$45,0)),"")</f>
        <v>Evaluación a los servidores públicos de acuerdo con el marco normativo que le rige</v>
      </c>
      <c r="F27" s="116" t="str">
        <f>+IFERROR(VLOOKUP(C27,Hoja1!$H$2:$I$45,2,0),"")</f>
        <v>Si</v>
      </c>
      <c r="G27" s="117" t="str">
        <f t="shared" si="0"/>
        <v>Existe requerimiento pero se requiere actividades  dirigidas a su mantenimiento dentro del marco de las lineas de defensa.</v>
      </c>
      <c r="I27" s="131">
        <f t="shared" si="1"/>
        <v>1</v>
      </c>
      <c r="J27" s="254"/>
    </row>
    <row r="28" spans="1:10" ht="30.6">
      <c r="A28" s="1"/>
      <c r="B28" s="1"/>
      <c r="C28" s="129">
        <v>10</v>
      </c>
      <c r="D28" s="272"/>
      <c r="E28" s="115" t="str">
        <f>+IFERROR(INDEX(Hoja1!$E$2:$E$45,MATCH('Análisis Resultados'!C28,Hoja1!$H$2:$H$45,0)),"")</f>
        <v>Procesos de desvinculación de servidores de acuerdo con lo previsto en la Constitución Política y las leyes</v>
      </c>
      <c r="F28" s="116" t="str">
        <f>+IFERROR(VLOOKUP(C28,Hoja1!$H$2:$I$45,2,0),"")</f>
        <v>Si</v>
      </c>
      <c r="G28" s="117" t="str">
        <f t="shared" si="0"/>
        <v>Existe requerimiento pero se requiere actividades  dirigidas a su mantenimiento dentro del marco de las lineas de defensa.</v>
      </c>
      <c r="I28" s="131">
        <f t="shared" si="1"/>
        <v>1</v>
      </c>
      <c r="J28" s="254"/>
    </row>
    <row r="29" spans="1:10" ht="30.6">
      <c r="A29" s="1"/>
      <c r="B29" s="1"/>
      <c r="C29" s="129">
        <v>11</v>
      </c>
      <c r="D29" s="272"/>
      <c r="E29" s="115" t="str">
        <f>+IFERROR(INDEX(Hoja1!$E$2:$E$45,MATCH('Análisis Resultados'!C29,Hoja1!$H$2:$H$45,0)),"")</f>
        <v>Mecanismos de rendición de cuentas a la ciudadanía</v>
      </c>
      <c r="F29" s="116" t="str">
        <f>+IFERROR(VLOOKUP(C29,Hoja1!$H$2:$I$45,2,0),"")</f>
        <v>Si</v>
      </c>
      <c r="G29" s="117"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I29" s="131">
        <f t="shared" si="1"/>
        <v>1</v>
      </c>
      <c r="J29" s="254"/>
    </row>
    <row r="30" spans="1:10" ht="31.15" thickBot="1">
      <c r="A30" s="1"/>
      <c r="B30" s="1"/>
      <c r="C30" s="129">
        <v>12</v>
      </c>
      <c r="D30" s="273"/>
      <c r="E30" s="118" t="str">
        <f>+IFERROR(INDEX(Hoja1!$E$2:$E$45,MATCH('Análisis Resultados'!C30,Hoja1!$H$2:$H$45,0)),"")</f>
        <v>Presentación oportuna de sus informes de gestión a las autoridades competentes</v>
      </c>
      <c r="F30" s="119" t="str">
        <f>+IFERROR(VLOOKUP(C30,Hoja1!$H$2:$I$45,2,0),"")</f>
        <v>Si</v>
      </c>
      <c r="G30" s="120" t="str">
        <f t="shared" si="0"/>
        <v>Existe requerimiento pero se requiere actividades  dirigidas a su mantenimiento dentro del marco de las lineas de defensa.</v>
      </c>
      <c r="I30" s="132">
        <f t="shared" si="1"/>
        <v>1</v>
      </c>
      <c r="J30" s="255"/>
    </row>
    <row r="31" spans="1:10" ht="45" customHeight="1">
      <c r="A31" s="1"/>
      <c r="B31" s="1"/>
      <c r="C31" s="129">
        <v>13</v>
      </c>
      <c r="D31" s="267" t="s">
        <v>73</v>
      </c>
      <c r="E31" s="112" t="str">
        <f>+IFERROR(INDEX(Hoja1!$E$2:$E$45,MATCH('Análisis Resultados'!C31,Hoja1!$H$2:$H$45,0)),"")</f>
        <v>Solamente hasta que un organismo de control actúa se definen acciones de mejora.</v>
      </c>
      <c r="F31" s="113" t="str">
        <f>+IFERROR(VLOOKUP(C31,Hoja1!$H$2:$I$45,2,0),"")</f>
        <v>No</v>
      </c>
      <c r="G31" s="114" t="str">
        <f t="shared" si="0"/>
        <v>No se encuentra el aspecto  por lo tanto la entidad debera generar acciones dirigidas a que se cumpla con el requerimiento.</v>
      </c>
      <c r="I31" s="130">
        <f t="shared" si="1"/>
        <v>0</v>
      </c>
      <c r="J31" s="251">
        <f>+AVERAGE(I31:I40)</f>
        <v>0.85</v>
      </c>
    </row>
    <row r="32" spans="1:10" ht="57" customHeight="1">
      <c r="A32" s="1"/>
      <c r="B32" s="1"/>
      <c r="C32" s="129">
        <v>14</v>
      </c>
      <c r="D32" s="268"/>
      <c r="E32" s="115" t="str">
        <f>+IFERROR(INDEX(Hoja1!$E$2:$E$45,MATCH('Análisis Resultados'!C32,Hoja1!$H$2:$H$45,0)),"")</f>
        <v>Si su capacidad e infraestructura lo permite, identificación de riesgos asociados a las tecnologías de la información y las comunicaciones</v>
      </c>
      <c r="F32" s="116" t="str">
        <f>+IFERROR(VLOOKUP(C32,Hoja1!$H$2:$I$45,2,0),"")</f>
        <v>En proceso</v>
      </c>
      <c r="G32" s="117" t="str">
        <f t="shared" si="0"/>
        <v>Se encuentra en proceso, pero requiere continuar con acciones dirigidas a contar con dicho aspecto de control.</v>
      </c>
      <c r="I32" s="131">
        <f t="shared" si="1"/>
        <v>0.5</v>
      </c>
      <c r="J32" s="252"/>
    </row>
    <row r="33" spans="1:10" ht="54" customHeight="1">
      <c r="A33" s="1"/>
      <c r="B33" s="1"/>
      <c r="C33" s="129">
        <v>15</v>
      </c>
      <c r="D33" s="268"/>
      <c r="E33" s="115" t="str">
        <f>+IFERROR(INDEX(Hoja1!$E$2:$E$45,MATCH('Análisis Resultados'!C33,Hoja1!$H$2:$H$45,0)),"")</f>
        <v>La identificación de cambios en su entorno que pueden generar consecuencias negativas en su gestión</v>
      </c>
      <c r="F33" s="116" t="str">
        <f>+IFERROR(VLOOKUP(C33,Hoja1!$H$2:$I$45,2,0),"")</f>
        <v>Si</v>
      </c>
      <c r="G33" s="117" t="str">
        <f t="shared" si="0"/>
        <v>Existe requerimiento pero se requiere actividades  dirigidas a su mantenimiento dentro del marco de las lineas de defensa.</v>
      </c>
      <c r="I33" s="131">
        <f t="shared" si="1"/>
        <v>1</v>
      </c>
      <c r="J33" s="252"/>
    </row>
    <row r="34" spans="1:10" ht="30.6">
      <c r="A34" s="1"/>
      <c r="B34" s="1"/>
      <c r="C34" s="129">
        <v>16</v>
      </c>
      <c r="D34" s="268"/>
      <c r="E34" s="115" t="str">
        <f>+IFERROR(INDEX(Hoja1!$E$2:$E$45,MATCH('Análisis Resultados'!C34,Hoja1!$H$2:$H$45,0)),"")</f>
        <v>La identificación de aquellos problemas o aspectos que pueden afectar el cumplimiento de los planes de la entidad y en general su gestión institucional (riesgos)</v>
      </c>
      <c r="F34" s="116" t="str">
        <f>+IFERROR(VLOOKUP(C34,Hoja1!$H$2:$I$45,2,0),"")</f>
        <v>Si</v>
      </c>
      <c r="G34" s="117" t="str">
        <f t="shared" si="0"/>
        <v>Existe requerimiento pero se requiere actividades  dirigidas a su mantenimiento dentro del marco de las lineas de defensa.</v>
      </c>
      <c r="I34" s="131">
        <f t="shared" si="1"/>
        <v>1</v>
      </c>
      <c r="J34" s="252"/>
    </row>
    <row r="35" spans="1:10" ht="67.5" customHeight="1">
      <c r="A35" s="1"/>
      <c r="B35" s="1"/>
      <c r="C35" s="129">
        <v>17</v>
      </c>
      <c r="D35" s="268"/>
      <c r="E35" s="115" t="str">
        <f>+IFERROR(INDEX(Hoja1!$E$2:$E$45,MATCH('Análisis Resultados'!C35,Hoja1!$H$2:$H$45,0)),"")</f>
        <v>La identificación  de los riesgos relacionados con posibles actos de corrupción en el ejercicio de sus funciones</v>
      </c>
      <c r="F35" s="116" t="str">
        <f>+IFERROR(VLOOKUP(C35,Hoja1!$H$2:$I$45,2,0),"")</f>
        <v>Si</v>
      </c>
      <c r="G35" s="117" t="str">
        <f t="shared" si="0"/>
        <v>Existe requerimiento pero se requiere actividades  dirigidas a su mantenimiento dentro del marco de las lineas de defensa.</v>
      </c>
      <c r="I35" s="131">
        <f t="shared" si="1"/>
        <v>1</v>
      </c>
      <c r="J35" s="252"/>
    </row>
    <row r="36" spans="1:10" ht="30.6">
      <c r="A36" s="1"/>
      <c r="B36" s="1"/>
      <c r="C36" s="129">
        <v>18</v>
      </c>
      <c r="D36" s="268"/>
      <c r="E36" s="115" t="str">
        <f>+IFERROR(INDEX(Hoja1!$E$2:$E$45,MATCH('Análisis Resultados'!C36,Hoja1!$H$2:$H$45,0)),"")</f>
        <v>Hacen seguimiento a los problemas (riesgos)  que pueden afectar el cumplimiento de sus procesos, programas o proyectos a cargo</v>
      </c>
      <c r="F36" s="116" t="str">
        <f>+IFERROR(VLOOKUP(C36,Hoja1!$H$2:$I$45,2,0),"")</f>
        <v>Si</v>
      </c>
      <c r="G36" s="117" t="str">
        <f t="shared" si="0"/>
        <v>Existe requerimiento pero se requiere actividades  dirigidas a su mantenimiento dentro del marco de las lineas de defensa.</v>
      </c>
      <c r="I36" s="131">
        <f t="shared" si="1"/>
        <v>1</v>
      </c>
      <c r="J36" s="252"/>
    </row>
    <row r="37" spans="1:10" ht="57" customHeight="1">
      <c r="A37" s="1"/>
      <c r="B37" s="1"/>
      <c r="C37" s="129">
        <v>19</v>
      </c>
      <c r="D37" s="268"/>
      <c r="E37" s="115" t="str">
        <f>+IFERROR(INDEX(Hoja1!$E$2:$E$45,MATCH('Análisis Resultados'!C37,Hoja1!$H$2:$H$45,0)),"")</f>
        <v>Informan de manera periódica a quien corresponda sobre el desempeño de las actividades de gestión de riesgos</v>
      </c>
      <c r="F37" s="116" t="str">
        <f>+IFERROR(VLOOKUP(C37,Hoja1!$H$2:$I$45,2,0),"")</f>
        <v>Si</v>
      </c>
      <c r="G37" s="117" t="str">
        <f t="shared" si="0"/>
        <v>Existe requerimiento pero se requiere actividades  dirigidas a su mantenimiento dentro del marco de las lineas de defensa.</v>
      </c>
      <c r="I37" s="131">
        <f t="shared" si="1"/>
        <v>1</v>
      </c>
      <c r="J37" s="252"/>
    </row>
    <row r="38" spans="1:10" ht="30.6">
      <c r="A38" s="1"/>
      <c r="B38" s="1"/>
      <c r="C38" s="129">
        <v>20</v>
      </c>
      <c r="D38" s="268"/>
      <c r="E38" s="115" t="str">
        <f>+IFERROR(INDEX(Hoja1!$E$2:$E$45,MATCH('Análisis Resultados'!C38,Hoja1!$H$2:$H$45,0)),"")</f>
        <v>Identifican deficiencias en las maneras de  controlar los riesgos o problemas en sus procesos, programas o proyectos, y propone los ajustes necesarios</v>
      </c>
      <c r="F38" s="116" t="str">
        <f>+IFERROR(VLOOKUP(C38,Hoja1!$H$2:$I$45,2,0),"")</f>
        <v>Si</v>
      </c>
      <c r="G38" s="117" t="str">
        <f t="shared" si="0"/>
        <v>Existe requerimiento pero se requiere actividades  dirigidas a su mantenimiento dentro del marco de las lineas de defensa.</v>
      </c>
      <c r="I38" s="131">
        <f t="shared" si="1"/>
        <v>1</v>
      </c>
      <c r="J38" s="252"/>
    </row>
    <row r="39" spans="1:10" ht="30.6">
      <c r="A39" s="1"/>
      <c r="B39" s="1"/>
      <c r="C39" s="129">
        <v>21</v>
      </c>
      <c r="D39" s="268"/>
      <c r="E39" s="115" t="str">
        <f>+IFERROR(INDEX(Hoja1!$E$2:$E$45,MATCH('Análisis Resultados'!C39,Hoja1!$H$2:$H$45,0)),"")</f>
        <v>Se definen espacios de reunión para conocerlos y proponer acciones para su solución</v>
      </c>
      <c r="F39" s="116" t="str">
        <f>+IFERROR(VLOOKUP(C39,Hoja1!$H$2:$I$45,2,0),"")</f>
        <v>Si</v>
      </c>
      <c r="G39" s="117" t="str">
        <f t="shared" si="0"/>
        <v>Existe requerimiento pero se requiere actividades  dirigidas a su mantenimiento dentro del marco de las lineas de defensa.</v>
      </c>
      <c r="I39" s="131">
        <f t="shared" si="1"/>
        <v>1</v>
      </c>
      <c r="J39" s="252"/>
    </row>
    <row r="40" spans="1:10" ht="31.15" thickBot="1">
      <c r="A40" s="1"/>
      <c r="B40" s="1"/>
      <c r="C40" s="129">
        <v>22</v>
      </c>
      <c r="D40" s="268"/>
      <c r="E40" s="121" t="str">
        <f>+IFERROR(INDEX(Hoja1!$E$2:$E$45,MATCH('Análisis Resultados'!C40,Hoja1!$H$2:$H$45,0)),"")</f>
        <v>Cada líder del equipo autónomamente toma las acciones para solucionarlos.</v>
      </c>
      <c r="F40" s="122" t="str">
        <f>+IFERROR(VLOOKUP(C40,Hoja1!$H$2:$I$45,2,0),"")</f>
        <v>Si</v>
      </c>
      <c r="G40" s="123" t="str">
        <f t="shared" si="0"/>
        <v>Existe requerimiento pero se requiere actividades  dirigidas a su mantenimiento dentro del marco de las lineas de defensa.</v>
      </c>
      <c r="I40" s="133">
        <f t="shared" si="1"/>
        <v>1</v>
      </c>
      <c r="J40" s="252"/>
    </row>
    <row r="41" spans="1:10" ht="87.75" customHeight="1">
      <c r="A41" s="1"/>
      <c r="B41" s="1"/>
      <c r="C41" s="129">
        <v>23</v>
      </c>
      <c r="D41" s="263" t="s">
        <v>101</v>
      </c>
      <c r="E41" s="112" t="str">
        <f>+IFERROR(INDEX(Hoja1!$E$2:$E$45,MATCH('Análisis Resultados'!C41,Hoja1!$H$2:$H$45,0)),"")</f>
        <v>La definición de acciones o actividades para para dar tratamiento a los problemas identificados (mitigación de riesgos), incluyendo aquellos asociados a posibles actos de corrupción</v>
      </c>
      <c r="F41" s="113" t="str">
        <f>+IFERROR(VLOOKUP(C41,Hoja1!$H$2:$I$45,2,0),"")</f>
        <v>Si</v>
      </c>
      <c r="G41" s="114" t="str">
        <f t="shared" si="0"/>
        <v>Existe requerimiento pero se requiere actividades  dirigidas a su mantenimiento dentro del marco de las lineas de defensa.</v>
      </c>
      <c r="I41" s="130">
        <f t="shared" si="1"/>
        <v>1</v>
      </c>
      <c r="J41" s="251">
        <f>+AVERAGE(I41:I45)</f>
        <v>1</v>
      </c>
    </row>
    <row r="42" spans="1:10" ht="55.15">
      <c r="A42" s="1"/>
      <c r="B42" s="1"/>
      <c r="C42" s="129">
        <v>24</v>
      </c>
      <c r="D42" s="264"/>
      <c r="E42" s="115" t="str">
        <f>+IFERROR(INDEX(Hoja1!$E$2:$E$45,MATCH('Análisis Resultados'!C42,Hoja1!$H$2:$H$45,0)),"")</f>
        <v>Mecanismos de verificación de si se están o no mitigando los riesgos, o en su defecto, elaboración de planes de contingencia para subsanar sus consecuencias</v>
      </c>
      <c r="F42" s="116" t="str">
        <f>+IFERROR(VLOOKUP(C42,Hoja1!$H$2:$I$45,2,0),"")</f>
        <v>Si</v>
      </c>
      <c r="G42" s="117" t="str">
        <f t="shared" si="0"/>
        <v>Existe requerimiento pero se requiere actividades  dirigidas a su mantenimiento dentro del marco de las lineas de defensa.</v>
      </c>
      <c r="I42" s="131">
        <f t="shared" si="1"/>
        <v>1</v>
      </c>
      <c r="J42" s="252"/>
    </row>
    <row r="43" spans="1:10" ht="85.5" customHeight="1">
      <c r="A43" s="1"/>
      <c r="B43" s="1"/>
      <c r="C43" s="129">
        <v>25</v>
      </c>
      <c r="D43" s="264"/>
      <c r="E43" s="115" t="str">
        <f>+IFERROR(INDEX(Hoja1!$E$2:$E$45,MATCH('Análisis Resultados'!C43,Hoja1!$H$2:$H$45,0)),"")</f>
        <v>Planes, acciones o estrategias que permitan subsanar las consecuencias de la materialización de los riesgos, cuando se presentan</v>
      </c>
      <c r="F43" s="116" t="str">
        <f>+IFERROR(VLOOKUP(C43,Hoja1!$H$2:$I$45,2,0),"")</f>
        <v>Si</v>
      </c>
      <c r="G43" s="117" t="str">
        <f t="shared" si="0"/>
        <v>Existe requerimiento pero se requiere actividades  dirigidas a su mantenimiento dentro del marco de las lineas de defensa.</v>
      </c>
      <c r="I43" s="131">
        <f t="shared" si="1"/>
        <v>1</v>
      </c>
      <c r="J43" s="252"/>
    </row>
    <row r="44" spans="1:10" ht="57" customHeight="1">
      <c r="A44" s="1"/>
      <c r="B44" s="1"/>
      <c r="C44" s="129">
        <v>26</v>
      </c>
      <c r="D44" s="264"/>
      <c r="E44" s="115"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16" t="str">
        <f>+IFERROR(VLOOKUP(C44,Hoja1!$H$2:$I$45,2,0),"")</f>
        <v>Si</v>
      </c>
      <c r="G44" s="117" t="str">
        <f t="shared" si="0"/>
        <v>Existe requerimiento pero se requiere actividades  dirigidas a su mantenimiento dentro del marco de las lineas de defensa.</v>
      </c>
      <c r="I44" s="131">
        <f t="shared" si="1"/>
        <v>1</v>
      </c>
      <c r="J44" s="252"/>
    </row>
    <row r="45" spans="1:10" ht="57" customHeight="1" thickBot="1">
      <c r="A45" s="1"/>
      <c r="B45" s="1"/>
      <c r="C45" s="129">
        <v>27</v>
      </c>
      <c r="D45" s="265"/>
      <c r="E45" s="118" t="str">
        <f>+IFERROR(INDEX(Hoja1!$E$2:$E$45,MATCH('Análisis Resultados'!C45,Hoja1!$H$2:$H$45,0)),"")</f>
        <v>Un plan anticorrupción y de servicio al ciudadano con los temas que le aplican, publicado en algún medio para conocimiento de la ciudadanía</v>
      </c>
      <c r="F45" s="119" t="str">
        <f>+IFERROR(VLOOKUP(C45,Hoja1!$H$2:$I$45,2,0),"")</f>
        <v>Si</v>
      </c>
      <c r="G45" s="120" t="str">
        <f t="shared" si="0"/>
        <v>Existe requerimiento pero se requiere actividades  dirigidas a su mantenimiento dentro del marco de las lineas de defensa.</v>
      </c>
      <c r="I45" s="132">
        <f t="shared" si="1"/>
        <v>1</v>
      </c>
      <c r="J45" s="266"/>
    </row>
    <row r="46" spans="1:10" ht="63.75" customHeight="1">
      <c r="A46" s="1"/>
      <c r="B46" s="1"/>
      <c r="C46" s="129">
        <v>28</v>
      </c>
      <c r="D46" s="262" t="s">
        <v>114</v>
      </c>
      <c r="E46" s="124" t="str">
        <f>+IFERROR(INDEX(Hoja1!$E$2:$E$45,MATCH('Análisis Resultados'!C46,Hoja1!$H$2:$H$45,0)),"")</f>
        <v>Responsables de la información institucional</v>
      </c>
      <c r="F46" s="125" t="str">
        <f>+IFERROR(VLOOKUP(C46,Hoja1!$H$2:$I$45,2,0),"")</f>
        <v>Si</v>
      </c>
      <c r="G46" s="126" t="str">
        <f t="shared" si="0"/>
        <v>Existe requerimiento pero se requiere actividades  dirigidas a su mantenimiento dentro del marco de las lineas de defensa.</v>
      </c>
      <c r="I46" s="134">
        <f t="shared" si="1"/>
        <v>1</v>
      </c>
      <c r="J46" s="252">
        <f>+AVERAGE(I46:I52)</f>
        <v>1</v>
      </c>
    </row>
    <row r="47" spans="1:10" ht="92.25" customHeight="1">
      <c r="A47" s="1"/>
      <c r="B47" s="1"/>
      <c r="C47" s="129">
        <v>29</v>
      </c>
      <c r="D47" s="262"/>
      <c r="E47" s="115" t="str">
        <f>+IFERROR(INDEX(Hoja1!$E$2:$E$45,MATCH('Análisis Resultados'!C47,Hoja1!$H$2:$H$45,0)),"")</f>
        <v>Canales de comunicación con los ciudadanos</v>
      </c>
      <c r="F47" s="116" t="str">
        <f>+IFERROR(VLOOKUP(C47,Hoja1!$H$2:$I$45,2,0),"")</f>
        <v>Si</v>
      </c>
      <c r="G47" s="127" t="str">
        <f t="shared" si="0"/>
        <v>Existe requerimiento pero se requiere actividades  dirigidas a su mantenimiento dentro del marco de las lineas de defensa.</v>
      </c>
      <c r="I47" s="135">
        <f t="shared" si="1"/>
        <v>1</v>
      </c>
      <c r="J47" s="252"/>
    </row>
    <row r="48" spans="1:10" ht="66.75" customHeight="1">
      <c r="A48" s="1"/>
      <c r="B48" s="1"/>
      <c r="C48" s="129">
        <v>30</v>
      </c>
      <c r="D48" s="262"/>
      <c r="E48" s="115" t="str">
        <f>+IFERROR(INDEX(Hoja1!$E$2:$E$45,MATCH('Análisis Resultados'!C48,Hoja1!$H$2:$H$45,0)),"")</f>
        <v>Canales de comunicación o mecanismos de reporte de información a otros organismos gubernamentales o de control</v>
      </c>
      <c r="F48" s="116" t="str">
        <f>+IFERROR(VLOOKUP(C48,Hoja1!$H$2:$I$45,2,0),"")</f>
        <v>Si</v>
      </c>
      <c r="G48" s="127" t="str">
        <f t="shared" si="0"/>
        <v>Existe requerimiento pero se requiere actividades  dirigidas a su mantenimiento dentro del marco de las lineas de defensa.</v>
      </c>
      <c r="I48" s="135">
        <f t="shared" si="1"/>
        <v>1</v>
      </c>
      <c r="J48" s="252"/>
    </row>
    <row r="49" spans="1:10" ht="60" customHeight="1">
      <c r="A49" s="1"/>
      <c r="B49" s="1"/>
      <c r="C49" s="129">
        <v>31</v>
      </c>
      <c r="D49" s="262"/>
      <c r="E49" s="115" t="str">
        <f>+IFERROR(INDEX(Hoja1!$E$2:$E$45,MATCH('Análisis Resultados'!C49,Hoja1!$H$2:$H$45,0)),"")</f>
        <v xml:space="preserve">Lineamientos para dar tratamiento a la información de carácter reservado </v>
      </c>
      <c r="F49" s="116" t="str">
        <f>+IFERROR(VLOOKUP(C49,Hoja1!$H$2:$I$45,2,0),"")</f>
        <v>Si</v>
      </c>
      <c r="G49" s="127" t="str">
        <f t="shared" si="0"/>
        <v>Existe requerimiento pero se requiere actividades  dirigidas a su mantenimiento dentro del marco de las lineas de defensa.</v>
      </c>
      <c r="I49" s="135">
        <f t="shared" si="1"/>
        <v>1</v>
      </c>
      <c r="J49" s="252"/>
    </row>
    <row r="50" spans="1:10" ht="57" customHeight="1">
      <c r="A50" s="1"/>
      <c r="B50" s="1"/>
      <c r="C50" s="129">
        <v>32</v>
      </c>
      <c r="D50" s="262"/>
      <c r="E50" s="115" t="str">
        <f>+IFERROR(INDEX(Hoja1!$E$2:$E$45,MATCH('Análisis Resultados'!C50,Hoja1!$H$2:$H$45,0)),"")</f>
        <v>Identificación de información que produce en el marco de su gestión (Para los ciudadanos, organismos de control, organismos gubernamentales, entre otros)</v>
      </c>
      <c r="F50" s="116" t="str">
        <f>+IFERROR(VLOOKUP(C50,Hoja1!$H$2:$I$45,2,0),"")</f>
        <v>Si</v>
      </c>
      <c r="G50" s="127" t="str">
        <f t="shared" si="0"/>
        <v>Existe requerimiento pero se requiere actividades  dirigidas a su mantenimiento dentro del marco de las lineas de defensa.</v>
      </c>
      <c r="I50" s="135">
        <f t="shared" si="1"/>
        <v>1</v>
      </c>
      <c r="J50" s="252"/>
    </row>
    <row r="51" spans="1:10" ht="57" customHeight="1">
      <c r="A51" s="1"/>
      <c r="B51" s="1"/>
      <c r="C51" s="129">
        <v>33</v>
      </c>
      <c r="D51" s="262"/>
      <c r="E51" s="115" t="str">
        <f>+IFERROR(INDEX(Hoja1!$E$2:$E$45,MATCH('Análisis Resultados'!C51,Hoja1!$H$2:$H$45,0)),"")</f>
        <v>Identificación de información necesaria para la operación de la entidad (normograma, presupuesto, talento humano, infraestructura física y tecnológica)</v>
      </c>
      <c r="F51" s="116" t="str">
        <f>+IFERROR(VLOOKUP(C51,Hoja1!$H$2:$I$45,2,0),"")</f>
        <v>Si</v>
      </c>
      <c r="G51" s="127" t="str">
        <f t="shared" si="0"/>
        <v>Existe requerimiento pero se requiere actividades  dirigidas a su mantenimiento dentro del marco de las lineas de defensa.</v>
      </c>
      <c r="I51" s="135">
        <f t="shared" si="1"/>
        <v>1</v>
      </c>
      <c r="J51" s="252"/>
    </row>
    <row r="52" spans="1:10" ht="42" thickBot="1">
      <c r="A52" s="1"/>
      <c r="B52" s="1"/>
      <c r="C52" s="129">
        <v>34</v>
      </c>
      <c r="D52" s="262"/>
      <c r="E52" s="121" t="str">
        <f>+IFERROR(INDEX(Hoja1!$E$2:$E$45,MATCH('Análisis Resultados'!C52,Hoja1!$H$2:$H$45,0)),"")</f>
        <v>Si su capacidad e infraestructura lo permite, tecnologías de la información y las comunicaciones que soporten estos procesos</v>
      </c>
      <c r="F52" s="122" t="str">
        <f>+IFERROR(VLOOKUP(C52,Hoja1!$H$2:$I$45,2,0),"")</f>
        <v>Si</v>
      </c>
      <c r="G52" s="128" t="str">
        <f t="shared" si="0"/>
        <v>Existe requerimiento pero se requiere actividades  dirigidas a su mantenimiento dentro del marco de las lineas de defensa.</v>
      </c>
      <c r="I52" s="136">
        <f t="shared" si="1"/>
        <v>1</v>
      </c>
      <c r="J52" s="252"/>
    </row>
    <row r="53" spans="1:10" ht="41.25" customHeight="1">
      <c r="A53" s="1"/>
      <c r="B53" s="1"/>
      <c r="C53" s="129">
        <v>35</v>
      </c>
      <c r="D53" s="256" t="s">
        <v>131</v>
      </c>
      <c r="E53" s="112" t="str">
        <f>+IFERROR(INDEX(Hoja1!$E$2:$E$45,MATCH('Análisis Resultados'!C53,Hoja1!$H$2:$H$45,0)),"")</f>
        <v>Mecanismos de evaluación de la gestión (cronogramas, indicadores, listas de chequeo u otros)</v>
      </c>
      <c r="F53" s="113" t="str">
        <f>+IFERROR(VLOOKUP(C53,Hoja1!$H$2:$I$45,2,0),"")</f>
        <v>Si</v>
      </c>
      <c r="G53" s="114" t="str">
        <f t="shared" si="0"/>
        <v>Existe requerimiento pero se requiere actividades  dirigidas a su mantenimiento dentro del marco de las lineas de defensa.</v>
      </c>
      <c r="I53" s="130">
        <f t="shared" si="1"/>
        <v>1</v>
      </c>
      <c r="J53" s="259">
        <f>+AVERAGE(I53:I62)</f>
        <v>1</v>
      </c>
    </row>
    <row r="54" spans="1:10" ht="58.5" customHeight="1">
      <c r="A54" s="1"/>
      <c r="B54" s="1"/>
      <c r="C54" s="129">
        <v>36</v>
      </c>
      <c r="D54" s="257"/>
      <c r="E54" s="115" t="str">
        <f>+IFERROR(INDEX(Hoja1!$E$2:$E$45,MATCH('Análisis Resultados'!C54,Hoja1!$H$2:$H$45,0)),"")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4" s="116" t="str">
        <f>+IFERROR(VLOOKUP(C54,Hoja1!$H$2:$I$45,2,0),"")</f>
        <v>Si</v>
      </c>
      <c r="G54" s="117" t="str">
        <f t="shared" si="0"/>
        <v>Existe requerimiento pero se requiere actividades  dirigidas a su mantenimiento dentro del marco de las lineas de defensa.</v>
      </c>
      <c r="I54" s="131">
        <f t="shared" si="1"/>
        <v>1</v>
      </c>
      <c r="J54" s="260"/>
    </row>
    <row r="55" spans="1:10" s="1" customFormat="1" ht="84.75" customHeight="1">
      <c r="C55" s="129">
        <v>37</v>
      </c>
      <c r="D55" s="257"/>
      <c r="E55" s="115" t="str">
        <f>+IFERROR(INDEX(Hoja1!$E$2:$E$45,MATCH('Análisis Resultados'!C55,Hoja1!$H$2:$H$45,0)),"")</f>
        <v>Medidas correctivas en caso de detectarse deficiencias en los ejercicios de evaluación, seguimiento o auditoría</v>
      </c>
      <c r="F55" s="116" t="str">
        <f>+IFERROR(VLOOKUP(C55,Hoja1!$H$2:$I$45,2,0),"")</f>
        <v>Si</v>
      </c>
      <c r="G55" s="117" t="str">
        <f t="shared" si="0"/>
        <v>Existe requerimiento pero se requiere actividades  dirigidas a su mantenimiento dentro del marco de las lineas de defensa.</v>
      </c>
      <c r="I55" s="131">
        <f t="shared" si="1"/>
        <v>1</v>
      </c>
      <c r="J55" s="260"/>
    </row>
    <row r="56" spans="1:10" s="1" customFormat="1" ht="78.75" customHeight="1">
      <c r="C56" s="129">
        <v>38</v>
      </c>
      <c r="D56" s="257"/>
      <c r="E56" s="115" t="str">
        <f>+IFERROR(INDEX(Hoja1!$E$2:$E$45,MATCH('Análisis Resultados'!C56,Hoja1!$H$2:$H$45,0)),"")</f>
        <v>Seguimiento a los planes de mejoramiento suscritos con instancias de control internas o externas</v>
      </c>
      <c r="F56" s="116" t="str">
        <f>+IFERROR(VLOOKUP(C56,Hoja1!$H$2:$I$45,2,0),"")</f>
        <v>Si</v>
      </c>
      <c r="G56" s="117" t="str">
        <f t="shared" si="0"/>
        <v>Existe requerimiento pero se requiere actividades  dirigidas a su mantenimiento dentro del marco de las lineas de defensa.</v>
      </c>
      <c r="I56" s="131">
        <f t="shared" si="1"/>
        <v>1</v>
      </c>
      <c r="J56" s="260"/>
    </row>
    <row r="57" spans="1:10" s="1" customFormat="1" ht="54.75" customHeight="1">
      <c r="C57" s="129">
        <v>39</v>
      </c>
      <c r="D57" s="257"/>
      <c r="E57" s="115" t="str">
        <f>+IFERROR(INDEX(Hoja1!$E$2:$E$45,MATCH('Análisis Resultados'!C57,Hoja1!$H$2:$H$45,0)),"")</f>
        <v>La entidad participa en el  Comité Municipal de Auditoría?</v>
      </c>
      <c r="F57" s="116" t="str">
        <f>+IFERROR(VLOOKUP(C57,Hoja1!$H$2:$I$45,2,0),"")</f>
        <v>Si</v>
      </c>
      <c r="G57" s="117" t="str">
        <f t="shared" si="0"/>
        <v>Existe requerimiento pero se requiere actividades  dirigidas a su mantenimiento dentro del marco de las lineas de defensa.</v>
      </c>
      <c r="I57" s="131">
        <f t="shared" si="1"/>
        <v>1</v>
      </c>
      <c r="J57" s="260"/>
    </row>
    <row r="58" spans="1:10" s="1" customFormat="1" ht="68.25" customHeight="1">
      <c r="C58" s="129">
        <v>40</v>
      </c>
      <c r="D58" s="257"/>
      <c r="E58" s="115" t="str">
        <f>+IFERROR(INDEX(Hoja1!$E$2:$E$45,MATCH('Análisis Resultados'!C58,Hoja1!$H$2:$H$45,0)),"")</f>
        <v>Evitar que los problemas (riesgos) obstaculicen el cumplimiento de los objetivos.</v>
      </c>
      <c r="F58" s="116" t="str">
        <f>+IFERROR(VLOOKUP(C58,Hoja1!$H$2:$I$45,2,0),"")</f>
        <v>Si</v>
      </c>
      <c r="G58" s="117" t="str">
        <f t="shared" si="0"/>
        <v>Existe requerimiento pero se requiere actividades  dirigidas a su mantenimiento dentro del marco de las lineas de defensa.</v>
      </c>
      <c r="I58" s="131">
        <f t="shared" si="1"/>
        <v>1</v>
      </c>
      <c r="J58" s="260"/>
    </row>
    <row r="59" spans="1:10" s="1" customFormat="1" ht="45" customHeight="1">
      <c r="C59" s="129">
        <v>41</v>
      </c>
      <c r="D59" s="257"/>
      <c r="E59" s="115" t="str">
        <f>+IFERROR(INDEX(Hoja1!$E$2:$E$45,MATCH('Análisis Resultados'!C59,Hoja1!$H$2:$H$45,0)),"")</f>
        <v>Controlar los puntos críticos en los procesos.</v>
      </c>
      <c r="F59" s="116" t="str">
        <f>+IFERROR(VLOOKUP(C59,Hoja1!$H$2:$I$45,2,0),"")</f>
        <v>Si</v>
      </c>
      <c r="G59" s="117" t="str">
        <f t="shared" si="0"/>
        <v>Existe requerimiento pero se requiere actividades  dirigidas a su mantenimiento dentro del marco de las lineas de defensa.</v>
      </c>
      <c r="I59" s="131">
        <f t="shared" si="1"/>
        <v>1</v>
      </c>
      <c r="J59" s="260"/>
    </row>
    <row r="60" spans="1:10" s="1" customFormat="1" ht="51.75" customHeight="1">
      <c r="C60" s="129">
        <v>42</v>
      </c>
      <c r="D60" s="257"/>
      <c r="E60" s="115" t="str">
        <f>+IFERROR(INDEX(Hoja1!$E$2:$E$45,MATCH('Análisis Resultados'!C60,Hoja1!$H$2:$H$45,0)),"")</f>
        <v>Diseñar acciones adecuadas para controlar los problemas que afectan el cumplimiento de las metas y objetivos institucionales (riesgos).</v>
      </c>
      <c r="F60" s="116" t="str">
        <f>+IFERROR(VLOOKUP(C60,Hoja1!$H$2:$I$45,2,0),"")</f>
        <v>Si</v>
      </c>
      <c r="G60" s="117" t="str">
        <f t="shared" si="0"/>
        <v>Existe requerimiento pero se requiere actividades  dirigidas a su mantenimiento dentro del marco de las lineas de defensa.</v>
      </c>
      <c r="I60" s="131">
        <f t="shared" si="1"/>
        <v>1</v>
      </c>
      <c r="J60" s="260"/>
    </row>
    <row r="61" spans="1:10" s="1" customFormat="1" ht="84" customHeight="1">
      <c r="C61" s="129">
        <v>43</v>
      </c>
      <c r="D61" s="257"/>
      <c r="E61" s="115" t="str">
        <f>+IFERROR(INDEX(Hoja1!$E$2:$E$45,MATCH('Análisis Resultados'!C61,Hoja1!$H$2:$H$45,0)),"")</f>
        <v>Ejecutar las acciones de acuerdo a como se diseñaron previamente.</v>
      </c>
      <c r="F61" s="116" t="str">
        <f>+IFERROR(VLOOKUP(C61,Hoja1!$H$2:$I$45,2,0),"")</f>
        <v>Si</v>
      </c>
      <c r="G61" s="117" t="str">
        <f t="shared" si="0"/>
        <v>Existe requerimiento pero se requiere actividades  dirigidas a su mantenimiento dentro del marco de las lineas de defensa.</v>
      </c>
      <c r="I61" s="131">
        <f t="shared" si="1"/>
        <v>1</v>
      </c>
      <c r="J61" s="260"/>
    </row>
    <row r="62" spans="1:10" s="1" customFormat="1" ht="60" customHeight="1" thickBot="1">
      <c r="C62" s="129">
        <v>44</v>
      </c>
      <c r="D62" s="258"/>
      <c r="E62" s="118" t="str">
        <f>+IFERROR(INDEX(Hoja1!$E$2:$E$45,MATCH('Análisis Resultados'!C62,Hoja1!$H$2:$H$45,0)),"")</f>
        <v>No se gestionan los problemas que afectan el cumplimiento de las funciones y objetivos institucionales(riesgos).</v>
      </c>
      <c r="F62" s="119" t="str">
        <f>+IFERROR(VLOOKUP(C62,Hoja1!$H$2:$I$45,2,0),"")</f>
        <v>Si</v>
      </c>
      <c r="G62" s="120" t="str">
        <f t="shared" si="0"/>
        <v>Existe requerimiento pero se requiere actividades  dirigidas a su mantenimiento dentro del marco de las lineas de defensa.</v>
      </c>
      <c r="I62" s="132">
        <f t="shared" si="1"/>
        <v>1</v>
      </c>
      <c r="J62" s="261"/>
    </row>
    <row r="63" spans="1:10" s="1" customFormat="1"/>
    <row r="64" spans="1:10" s="1" customFormat="1"/>
    <row r="65" spans="1:2" s="1" customFormat="1"/>
    <row r="66" spans="1:2" s="1" customFormat="1"/>
    <row r="67" spans="1:2" s="1" customFormat="1"/>
    <row r="68" spans="1:2" s="1" customFormat="1"/>
    <row r="69" spans="1:2" s="1" customFormat="1"/>
    <row r="70" spans="1:2" s="1" customFormat="1"/>
    <row r="71" spans="1:2">
      <c r="A71" s="1"/>
      <c r="B71" s="1"/>
    </row>
    <row r="72" spans="1:2">
      <c r="A72" s="1"/>
      <c r="B72" s="1"/>
    </row>
    <row r="73" spans="1:2">
      <c r="A73" s="1"/>
      <c r="B73" s="1"/>
    </row>
    <row r="74" spans="1:2">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tabSelected="1" topLeftCell="C32" zoomScale="64" zoomScaleNormal="64" workbookViewId="0">
      <selection activeCell="I38" sqref="I38"/>
    </sheetView>
  </sheetViews>
  <sheetFormatPr defaultColWidth="11.42578125" defaultRowHeight="14.4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row r="2" spans="1:17" ht="15" thickBot="1">
      <c r="A2" s="1"/>
      <c r="B2" s="1"/>
      <c r="C2" s="1"/>
      <c r="D2" s="1"/>
      <c r="E2" s="1"/>
      <c r="F2" s="1"/>
      <c r="G2" s="1"/>
      <c r="H2" s="1"/>
      <c r="I2" s="1"/>
      <c r="J2" s="1"/>
      <c r="K2" s="1"/>
      <c r="L2" s="1"/>
      <c r="M2" s="1"/>
      <c r="N2" s="1"/>
      <c r="O2" s="1"/>
      <c r="P2" s="1"/>
      <c r="Q2" s="1"/>
    </row>
    <row r="3" spans="1:17" ht="15" thickTop="1">
      <c r="A3" s="1"/>
      <c r="B3" s="2"/>
      <c r="C3" s="3"/>
      <c r="D3" s="3"/>
      <c r="E3" s="3"/>
      <c r="F3" s="3"/>
      <c r="G3" s="3"/>
      <c r="H3" s="3"/>
      <c r="I3" s="3"/>
      <c r="J3" s="3"/>
      <c r="K3" s="3"/>
      <c r="L3" s="3"/>
      <c r="M3" s="3"/>
      <c r="N3" s="3"/>
      <c r="O3" s="3"/>
      <c r="P3" s="4"/>
      <c r="Q3" s="1"/>
    </row>
    <row r="4" spans="1:17">
      <c r="A4" s="1"/>
      <c r="B4" s="5"/>
      <c r="C4" s="1"/>
      <c r="D4" s="1"/>
      <c r="E4" s="289" t="s">
        <v>168</v>
      </c>
      <c r="F4" s="291" t="s">
        <v>169</v>
      </c>
      <c r="G4" s="291"/>
      <c r="H4" s="291"/>
      <c r="I4" s="291"/>
      <c r="J4" s="291"/>
      <c r="K4" s="291"/>
      <c r="L4" s="291"/>
      <c r="M4" s="291"/>
      <c r="N4" s="6"/>
      <c r="O4" s="6"/>
      <c r="P4" s="7"/>
      <c r="Q4" s="1"/>
    </row>
    <row r="5" spans="1:17" ht="45.75" customHeight="1">
      <c r="A5" s="1"/>
      <c r="B5" s="5"/>
      <c r="C5" s="1"/>
      <c r="D5" s="1"/>
      <c r="E5" s="290"/>
      <c r="F5" s="291"/>
      <c r="G5" s="291"/>
      <c r="H5" s="291"/>
      <c r="I5" s="291"/>
      <c r="J5" s="291"/>
      <c r="K5" s="291"/>
      <c r="L5" s="291"/>
      <c r="M5" s="291"/>
      <c r="N5" s="6"/>
      <c r="O5" s="6"/>
      <c r="P5" s="7"/>
      <c r="Q5" s="1"/>
    </row>
    <row r="6" spans="1:17" ht="66.75" customHeight="1">
      <c r="A6" s="1"/>
      <c r="B6" s="5"/>
      <c r="C6" s="1"/>
      <c r="D6" s="1"/>
      <c r="E6" s="88" t="s">
        <v>170</v>
      </c>
      <c r="F6" s="292" t="s">
        <v>171</v>
      </c>
      <c r="G6" s="293"/>
      <c r="H6" s="293"/>
      <c r="I6" s="293"/>
      <c r="J6" s="293"/>
      <c r="K6" s="293"/>
      <c r="L6" s="293"/>
      <c r="M6" s="294"/>
      <c r="N6" s="8"/>
      <c r="O6" s="8"/>
      <c r="P6" s="7"/>
      <c r="Q6" s="1"/>
    </row>
    <row r="7" spans="1:17" ht="15" thickBot="1">
      <c r="A7" s="1"/>
      <c r="B7" s="5"/>
      <c r="C7" s="1"/>
      <c r="D7" s="1"/>
      <c r="E7" s="9"/>
      <c r="F7" s="8"/>
      <c r="G7" s="8"/>
      <c r="H7" s="8"/>
      <c r="I7" s="8"/>
      <c r="J7" s="8"/>
      <c r="K7" s="8"/>
      <c r="L7" s="8"/>
      <c r="M7" s="1"/>
      <c r="N7" s="1"/>
      <c r="O7" s="1"/>
      <c r="P7" s="7"/>
      <c r="Q7" s="1"/>
    </row>
    <row r="8" spans="1:17" ht="97.5" customHeight="1" thickBot="1">
      <c r="A8" s="1"/>
      <c r="B8" s="5"/>
      <c r="C8" s="1"/>
      <c r="D8" s="1"/>
      <c r="E8" s="1"/>
      <c r="F8" s="1"/>
      <c r="G8" s="1"/>
      <c r="H8" s="1"/>
      <c r="I8" s="295" t="s">
        <v>172</v>
      </c>
      <c r="J8" s="296"/>
      <c r="K8" s="297"/>
      <c r="L8" s="1"/>
      <c r="M8" s="137">
        <f>+AVERAGE(G26,G28,G30,G32,G34)</f>
        <v>0.94499999999999995</v>
      </c>
      <c r="N8" s="10"/>
      <c r="O8" s="10"/>
      <c r="P8" s="7"/>
      <c r="Q8" s="1"/>
    </row>
    <row r="9" spans="1:17" ht="15.6">
      <c r="A9" s="1"/>
      <c r="B9" s="5"/>
      <c r="C9" s="1"/>
      <c r="D9" s="1"/>
      <c r="E9" s="1"/>
      <c r="F9" s="1"/>
      <c r="G9" s="1"/>
      <c r="H9" s="1"/>
      <c r="I9" s="1"/>
      <c r="J9" s="1"/>
      <c r="K9" s="1"/>
      <c r="L9" s="1"/>
      <c r="M9" s="11"/>
      <c r="N9" s="11"/>
      <c r="O9" s="11"/>
      <c r="P9" s="7"/>
      <c r="Q9" s="1"/>
    </row>
    <row r="10" spans="1:17">
      <c r="A10" s="1"/>
      <c r="B10" s="5"/>
      <c r="C10" s="1"/>
      <c r="D10" s="1"/>
      <c r="E10" s="1"/>
      <c r="F10" s="1"/>
      <c r="G10" s="1"/>
      <c r="H10" s="1"/>
      <c r="I10" s="1"/>
      <c r="J10" s="1"/>
      <c r="K10" s="1"/>
      <c r="L10" s="1"/>
      <c r="M10" s="1"/>
      <c r="N10" s="1"/>
      <c r="O10" s="1"/>
      <c r="P10" s="7"/>
      <c r="Q10" s="1"/>
    </row>
    <row r="11" spans="1:17">
      <c r="A11" s="1"/>
      <c r="B11" s="5"/>
      <c r="C11" s="1"/>
      <c r="D11" s="1"/>
      <c r="E11" s="1"/>
      <c r="F11" s="1"/>
      <c r="G11" s="1"/>
      <c r="H11" s="1"/>
      <c r="I11" s="1"/>
      <c r="J11" s="1"/>
      <c r="K11" s="1"/>
      <c r="L11" s="1"/>
      <c r="M11" s="1"/>
      <c r="N11" s="1"/>
      <c r="O11" s="1"/>
      <c r="P11" s="7"/>
      <c r="Q11" s="1"/>
    </row>
    <row r="12" spans="1:17">
      <c r="A12" s="1"/>
      <c r="B12" s="5"/>
      <c r="C12" s="1"/>
      <c r="D12" s="1"/>
      <c r="E12" s="1"/>
      <c r="F12" s="1"/>
      <c r="G12" s="1"/>
      <c r="H12" s="1"/>
      <c r="I12" s="1"/>
      <c r="J12" s="1"/>
      <c r="K12" s="1"/>
      <c r="L12" s="1"/>
      <c r="M12" s="1"/>
      <c r="N12" s="1"/>
      <c r="O12" s="1"/>
      <c r="P12" s="7"/>
      <c r="Q12" s="1"/>
    </row>
    <row r="13" spans="1:17">
      <c r="A13" s="1"/>
      <c r="B13" s="5"/>
      <c r="C13" s="1"/>
      <c r="D13" s="1"/>
      <c r="E13" s="1"/>
      <c r="F13" s="1"/>
      <c r="G13" s="1"/>
      <c r="H13" s="1"/>
      <c r="I13" s="1"/>
      <c r="J13" s="1"/>
      <c r="K13" s="1"/>
      <c r="L13" s="1"/>
      <c r="M13" s="1"/>
      <c r="N13" s="1"/>
      <c r="O13" s="1"/>
      <c r="P13" s="7"/>
      <c r="Q13" s="1"/>
    </row>
    <row r="14" spans="1:17">
      <c r="A14" s="1"/>
      <c r="B14" s="5"/>
      <c r="C14" s="1"/>
      <c r="D14" s="1"/>
      <c r="E14" s="1"/>
      <c r="F14" s="1"/>
      <c r="G14" s="1"/>
      <c r="H14" s="1"/>
      <c r="I14" s="1"/>
      <c r="J14" s="1"/>
      <c r="K14" s="1"/>
      <c r="L14" s="1"/>
      <c r="M14" s="1"/>
      <c r="N14" s="1"/>
      <c r="O14" s="1"/>
      <c r="P14" s="7"/>
      <c r="Q14" s="1"/>
    </row>
    <row r="15" spans="1:17">
      <c r="A15" s="1"/>
      <c r="B15" s="5"/>
      <c r="C15" s="1"/>
      <c r="D15" s="1"/>
      <c r="E15" s="1"/>
      <c r="F15" s="1"/>
      <c r="G15" s="1"/>
      <c r="H15" s="1"/>
      <c r="I15" s="1"/>
      <c r="J15" s="1"/>
      <c r="K15" s="1"/>
      <c r="L15" s="1"/>
      <c r="M15" s="1"/>
      <c r="N15" s="1"/>
      <c r="O15" s="1"/>
      <c r="P15" s="7"/>
      <c r="Q15" s="1"/>
    </row>
    <row r="16" spans="1:17">
      <c r="A16" s="1"/>
      <c r="B16" s="5"/>
      <c r="C16" s="1"/>
      <c r="D16" s="1"/>
      <c r="E16" s="1"/>
      <c r="F16" s="1"/>
      <c r="G16" s="1"/>
      <c r="H16" s="1"/>
      <c r="I16" s="1"/>
      <c r="J16" s="1"/>
      <c r="K16" s="1"/>
      <c r="L16" s="1"/>
      <c r="M16" s="1"/>
      <c r="N16" s="1"/>
      <c r="O16" s="1"/>
      <c r="P16" s="7"/>
      <c r="Q16" s="1"/>
    </row>
    <row r="17" spans="1:17">
      <c r="A17" s="1"/>
      <c r="B17" s="5"/>
      <c r="C17" s="1"/>
      <c r="D17" s="1"/>
      <c r="E17" s="1"/>
      <c r="F17" s="1"/>
      <c r="G17" s="1"/>
      <c r="H17" s="1"/>
      <c r="I17" s="1"/>
      <c r="J17" s="1"/>
      <c r="K17" s="1"/>
      <c r="L17" s="1"/>
      <c r="M17" s="1"/>
      <c r="N17" s="1"/>
      <c r="O17" s="1"/>
      <c r="P17" s="7"/>
      <c r="Q17" s="1"/>
    </row>
    <row r="18" spans="1:17" ht="22.9">
      <c r="A18" s="1"/>
      <c r="B18" s="5"/>
      <c r="C18" s="298" t="s">
        <v>173</v>
      </c>
      <c r="D18" s="299"/>
      <c r="E18" s="299"/>
      <c r="F18" s="299"/>
      <c r="G18" s="299"/>
      <c r="H18" s="299"/>
      <c r="I18" s="299"/>
      <c r="J18" s="299"/>
      <c r="K18" s="299"/>
      <c r="L18" s="299"/>
      <c r="M18" s="300"/>
      <c r="N18" s="12"/>
      <c r="O18" s="12"/>
      <c r="P18" s="7"/>
      <c r="Q18" s="1"/>
    </row>
    <row r="19" spans="1:17" ht="16.149999999999999" thickBot="1">
      <c r="A19" s="1"/>
      <c r="B19" s="5"/>
      <c r="C19" s="13"/>
      <c r="D19" s="13"/>
      <c r="E19" s="13"/>
      <c r="F19" s="13"/>
      <c r="G19" s="13"/>
      <c r="H19" s="13"/>
      <c r="I19" s="13"/>
      <c r="J19" s="13"/>
      <c r="K19" s="13"/>
      <c r="L19" s="13"/>
      <c r="M19" s="13"/>
      <c r="N19" s="14"/>
      <c r="O19" s="14"/>
      <c r="P19" s="7"/>
      <c r="Q19" s="1"/>
    </row>
    <row r="20" spans="1:17" ht="76.5" customHeight="1">
      <c r="A20" s="1"/>
      <c r="B20" s="5"/>
      <c r="C20" s="301" t="s">
        <v>174</v>
      </c>
      <c r="D20" s="302"/>
      <c r="E20" s="140" t="s">
        <v>36</v>
      </c>
      <c r="F20" s="303" t="s">
        <v>175</v>
      </c>
      <c r="G20" s="303"/>
      <c r="H20" s="303"/>
      <c r="I20" s="303"/>
      <c r="J20" s="303"/>
      <c r="K20" s="303"/>
      <c r="L20" s="303"/>
      <c r="M20" s="304"/>
      <c r="N20" s="14"/>
      <c r="O20" s="14"/>
      <c r="P20" s="7"/>
      <c r="Q20" s="1"/>
    </row>
    <row r="21" spans="1:17" ht="96.75" customHeight="1">
      <c r="A21" s="1"/>
      <c r="B21" s="5"/>
      <c r="C21" s="285" t="s">
        <v>176</v>
      </c>
      <c r="D21" s="286"/>
      <c r="E21" s="141" t="s">
        <v>36</v>
      </c>
      <c r="F21" s="305" t="s">
        <v>177</v>
      </c>
      <c r="G21" s="305"/>
      <c r="H21" s="305"/>
      <c r="I21" s="305"/>
      <c r="J21" s="305"/>
      <c r="K21" s="305"/>
      <c r="L21" s="305"/>
      <c r="M21" s="306"/>
      <c r="N21" s="14"/>
      <c r="O21" s="14"/>
      <c r="P21" s="7"/>
      <c r="Q21" s="1"/>
    </row>
    <row r="22" spans="1:17" ht="120.75" customHeight="1" thickBot="1">
      <c r="A22" s="1"/>
      <c r="B22" s="5"/>
      <c r="C22" s="287" t="s">
        <v>178</v>
      </c>
      <c r="D22" s="288"/>
      <c r="E22" s="142" t="s">
        <v>36</v>
      </c>
      <c r="F22" s="307" t="s">
        <v>179</v>
      </c>
      <c r="G22" s="307"/>
      <c r="H22" s="307"/>
      <c r="I22" s="307"/>
      <c r="J22" s="307"/>
      <c r="K22" s="307"/>
      <c r="L22" s="307"/>
      <c r="M22" s="308"/>
      <c r="N22" s="14"/>
      <c r="O22" s="14"/>
      <c r="P22" s="7"/>
      <c r="Q22" s="1"/>
    </row>
    <row r="23" spans="1:17">
      <c r="A23" s="1"/>
      <c r="B23" s="5"/>
      <c r="C23" s="1"/>
      <c r="D23" s="1"/>
      <c r="E23" s="1"/>
      <c r="F23" s="1"/>
      <c r="G23" s="15"/>
      <c r="H23" s="1"/>
      <c r="I23" s="1"/>
      <c r="J23" s="1"/>
      <c r="K23" s="1"/>
      <c r="L23" s="1"/>
      <c r="M23" s="1"/>
      <c r="N23" s="1"/>
      <c r="O23" s="1"/>
      <c r="P23" s="7"/>
      <c r="Q23" s="1"/>
    </row>
    <row r="24" spans="1:17" ht="73.900000000000006">
      <c r="A24" s="1"/>
      <c r="B24" s="5"/>
      <c r="C24" s="91" t="s">
        <v>180</v>
      </c>
      <c r="D24" s="92"/>
      <c r="E24" s="91" t="s">
        <v>181</v>
      </c>
      <c r="F24" s="92"/>
      <c r="G24" s="91" t="s">
        <v>182</v>
      </c>
      <c r="H24" s="92"/>
      <c r="I24" s="312" t="s">
        <v>183</v>
      </c>
      <c r="J24" s="312"/>
      <c r="K24" s="312"/>
      <c r="L24" s="312"/>
      <c r="M24" s="312"/>
      <c r="N24" s="30"/>
      <c r="O24" s="30"/>
      <c r="P24" s="7"/>
      <c r="Q24" s="16"/>
    </row>
    <row r="25" spans="1:17" ht="13.5" customHeight="1" thickBot="1">
      <c r="A25" s="1"/>
      <c r="B25" s="5"/>
      <c r="C25" s="29"/>
      <c r="I25" s="313"/>
      <c r="J25" s="313"/>
      <c r="K25" s="313"/>
      <c r="L25" s="313"/>
      <c r="M25" s="313"/>
      <c r="N25" s="31"/>
      <c r="O25" s="31"/>
      <c r="P25" s="7"/>
      <c r="Q25" s="1"/>
    </row>
    <row r="26" spans="1:17" ht="155.25" customHeight="1" thickBot="1">
      <c r="A26" s="1"/>
      <c r="B26" s="5"/>
      <c r="C26" s="82" t="s">
        <v>32</v>
      </c>
      <c r="D26" s="17"/>
      <c r="E26" s="138" t="str">
        <f>+IF(Hoja1!K2&gt;=0.5,"Si","No")</f>
        <v>Si</v>
      </c>
      <c r="F26" s="18"/>
      <c r="G26" s="139">
        <f>+Hoja1!K2</f>
        <v>0.875</v>
      </c>
      <c r="H26" s="18"/>
      <c r="I26" s="309" t="s">
        <v>184</v>
      </c>
      <c r="J26" s="310"/>
      <c r="K26" s="310"/>
      <c r="L26" s="310"/>
      <c r="M26" s="311"/>
      <c r="N26" s="32"/>
      <c r="O26" s="33"/>
      <c r="P26" s="19"/>
      <c r="Q26" s="20"/>
    </row>
    <row r="27" spans="1:17" ht="26.45" thickBot="1">
      <c r="A27" s="1"/>
      <c r="B27" s="5"/>
      <c r="C27" s="83"/>
      <c r="E27" s="90"/>
      <c r="G27" s="21"/>
      <c r="I27" s="314"/>
      <c r="J27" s="314"/>
      <c r="K27" s="314"/>
      <c r="L27" s="314"/>
      <c r="M27" s="314"/>
      <c r="N27" s="34"/>
      <c r="O27" s="34"/>
      <c r="P27" s="7"/>
      <c r="Q27" s="1"/>
    </row>
    <row r="28" spans="1:17" ht="151.5" customHeight="1" thickBot="1">
      <c r="A28" s="1"/>
      <c r="B28" s="5"/>
      <c r="C28" s="84" t="s">
        <v>185</v>
      </c>
      <c r="D28" s="17"/>
      <c r="E28" s="138" t="str">
        <f>+IF(Hoja1!K14&gt;=0.5,"Si","No")</f>
        <v>Si</v>
      </c>
      <c r="G28" s="139">
        <f>+Hoja1!K14</f>
        <v>0.85</v>
      </c>
      <c r="I28" s="309" t="s">
        <v>186</v>
      </c>
      <c r="J28" s="310"/>
      <c r="K28" s="310"/>
      <c r="L28" s="310"/>
      <c r="M28" s="311"/>
      <c r="N28" s="32"/>
      <c r="O28" s="32"/>
      <c r="P28" s="7"/>
      <c r="Q28" s="1"/>
    </row>
    <row r="29" spans="1:17" ht="26.45" thickBot="1">
      <c r="A29" s="1"/>
      <c r="B29" s="5"/>
      <c r="C29" s="83"/>
      <c r="E29" s="90"/>
      <c r="G29" s="21"/>
      <c r="I29" s="314"/>
      <c r="J29" s="314"/>
      <c r="K29" s="314"/>
      <c r="L29" s="314"/>
      <c r="M29" s="314"/>
      <c r="N29" s="34"/>
      <c r="O29" s="34"/>
      <c r="P29" s="7"/>
      <c r="Q29" s="1"/>
    </row>
    <row r="30" spans="1:17" ht="141.75" customHeight="1" thickBot="1">
      <c r="A30" s="1"/>
      <c r="B30" s="5"/>
      <c r="C30" s="85" t="s">
        <v>187</v>
      </c>
      <c r="D30" s="17"/>
      <c r="E30" s="138" t="str">
        <f>+IF(Hoja1!K24&gt;=0.5,"Si","No")</f>
        <v>Si</v>
      </c>
      <c r="G30" s="139">
        <f>+Hoja1!K24</f>
        <v>1</v>
      </c>
      <c r="I30" s="309" t="s">
        <v>188</v>
      </c>
      <c r="J30" s="310"/>
      <c r="K30" s="310"/>
      <c r="L30" s="310"/>
      <c r="M30" s="311"/>
      <c r="N30" s="32"/>
      <c r="O30" s="32"/>
      <c r="P30" s="7"/>
      <c r="Q30" s="1"/>
    </row>
    <row r="31" spans="1:17" ht="26.45" thickBot="1">
      <c r="A31" s="1"/>
      <c r="B31" s="5"/>
      <c r="C31" s="83"/>
      <c r="E31" s="90"/>
      <c r="G31" s="21"/>
      <c r="I31" s="314"/>
      <c r="J31" s="314"/>
      <c r="K31" s="314"/>
      <c r="L31" s="314"/>
      <c r="M31" s="314"/>
      <c r="N31" s="34"/>
      <c r="O31" s="34"/>
      <c r="P31" s="7"/>
      <c r="Q31" s="1"/>
    </row>
    <row r="32" spans="1:17" ht="171" customHeight="1" thickBot="1">
      <c r="A32" s="1"/>
      <c r="B32" s="5"/>
      <c r="C32" s="86" t="s">
        <v>114</v>
      </c>
      <c r="D32" s="17"/>
      <c r="E32" s="138" t="str">
        <f>+IF(Hoja1!K29&gt;=0.5,"Si","No")</f>
        <v>Si</v>
      </c>
      <c r="G32" s="139">
        <f>+Hoja1!K29</f>
        <v>1</v>
      </c>
      <c r="I32" s="309" t="s">
        <v>189</v>
      </c>
      <c r="J32" s="310"/>
      <c r="K32" s="310"/>
      <c r="L32" s="310"/>
      <c r="M32" s="311"/>
      <c r="N32" s="32"/>
      <c r="O32" s="32"/>
      <c r="P32" s="7"/>
      <c r="Q32" s="1"/>
    </row>
    <row r="33" spans="1:17" ht="26.45" thickBot="1">
      <c r="A33" s="1"/>
      <c r="B33" s="5"/>
      <c r="C33" s="83"/>
      <c r="E33" s="90"/>
      <c r="G33" s="21"/>
      <c r="I33" s="314"/>
      <c r="J33" s="314"/>
      <c r="K33" s="314"/>
      <c r="L33" s="314"/>
      <c r="M33" s="314"/>
      <c r="N33" s="34"/>
      <c r="O33" s="34"/>
      <c r="P33" s="7"/>
      <c r="Q33" s="1"/>
    </row>
    <row r="34" spans="1:17" ht="164.25" customHeight="1" thickBot="1">
      <c r="A34" s="1"/>
      <c r="B34" s="5"/>
      <c r="C34" s="87" t="s">
        <v>190</v>
      </c>
      <c r="D34" s="17"/>
      <c r="E34" s="89" t="str">
        <f>+IF(Hoja1!K36&gt;=0.5,"Si","No")</f>
        <v>Si</v>
      </c>
      <c r="G34" s="139">
        <f>+Hoja1!K36</f>
        <v>1</v>
      </c>
      <c r="I34" s="309" t="s">
        <v>191</v>
      </c>
      <c r="J34" s="310"/>
      <c r="K34" s="310"/>
      <c r="L34" s="310"/>
      <c r="M34" s="311"/>
      <c r="N34" s="32"/>
      <c r="O34" s="32"/>
      <c r="P34" s="7"/>
      <c r="Q34" s="1"/>
    </row>
    <row r="35" spans="1:17" ht="15.6">
      <c r="A35" s="1"/>
      <c r="B35" s="5"/>
      <c r="C35" s="22"/>
      <c r="D35" s="22"/>
      <c r="E35" s="14"/>
      <c r="F35" s="1"/>
      <c r="G35" s="1"/>
      <c r="H35" s="1"/>
      <c r="I35" s="1"/>
      <c r="J35" s="1"/>
      <c r="K35" s="1"/>
      <c r="L35" s="1"/>
      <c r="M35" s="23"/>
      <c r="N35" s="23"/>
      <c r="O35" s="23"/>
      <c r="P35" s="7"/>
      <c r="Q35" s="1"/>
    </row>
    <row r="36" spans="1:17" ht="15.6">
      <c r="A36" s="1"/>
      <c r="B36" s="5"/>
      <c r="C36" s="24"/>
      <c r="D36" s="22"/>
      <c r="E36" s="14"/>
      <c r="F36" s="1"/>
      <c r="G36" s="1"/>
      <c r="H36" s="1"/>
      <c r="I36" s="1"/>
      <c r="J36" s="1"/>
      <c r="K36" s="1"/>
      <c r="L36" s="1"/>
      <c r="M36" s="23"/>
      <c r="N36" s="23"/>
      <c r="O36" s="23"/>
      <c r="P36" s="7"/>
      <c r="Q36" s="1"/>
    </row>
    <row r="37" spans="1:17">
      <c r="A37" s="1"/>
      <c r="B37" s="5"/>
      <c r="C37" s="25"/>
      <c r="D37" s="1"/>
      <c r="E37" s="1"/>
      <c r="F37" s="1"/>
      <c r="G37" s="1"/>
      <c r="H37" s="1"/>
      <c r="I37" s="1"/>
      <c r="J37" s="1"/>
      <c r="K37" s="1"/>
      <c r="L37" s="1"/>
      <c r="M37" s="1"/>
      <c r="N37" s="1"/>
      <c r="O37" s="1"/>
      <c r="P37" s="7"/>
      <c r="Q37" s="1"/>
    </row>
    <row r="38" spans="1:17" ht="15" thickBot="1">
      <c r="A38" s="1"/>
      <c r="B38" s="26"/>
      <c r="C38" s="27"/>
      <c r="D38" s="27"/>
      <c r="E38" s="27"/>
      <c r="F38" s="27"/>
      <c r="G38" s="27"/>
      <c r="H38" s="27"/>
      <c r="I38" s="27"/>
      <c r="J38" s="27"/>
      <c r="K38" s="27"/>
      <c r="L38" s="27"/>
      <c r="M38" s="27"/>
      <c r="N38" s="27"/>
      <c r="O38" s="27"/>
      <c r="P38" s="28"/>
      <c r="Q38" s="1"/>
    </row>
    <row r="39" spans="1:17" ht="15" thickTop="1">
      <c r="A39" s="1"/>
      <c r="B39" s="1"/>
      <c r="C39" s="1"/>
      <c r="D39" s="1"/>
      <c r="E39" s="1"/>
      <c r="F39" s="1"/>
      <c r="G39" s="1"/>
      <c r="H39" s="1"/>
      <c r="I39" s="1"/>
      <c r="J39" s="1"/>
      <c r="K39" s="1"/>
      <c r="L39" s="1"/>
      <c r="M39" s="1"/>
      <c r="N39" s="1"/>
      <c r="O39" s="1"/>
      <c r="P39" s="1"/>
      <c r="Q39" s="1"/>
    </row>
    <row r="40" spans="1:17">
      <c r="A40" s="1"/>
      <c r="B40" s="1"/>
      <c r="C40" s="1"/>
      <c r="D40" s="1"/>
      <c r="E40" s="1"/>
      <c r="F40" s="1"/>
      <c r="G40" s="1"/>
      <c r="H40" s="1"/>
      <c r="I40" s="1"/>
      <c r="J40" s="1"/>
      <c r="K40" s="1"/>
      <c r="L40" s="1"/>
      <c r="M40" s="1"/>
      <c r="N40" s="1"/>
      <c r="O40" s="1"/>
      <c r="P40" s="1"/>
      <c r="Q40" s="1"/>
    </row>
    <row r="41" spans="1:17">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'https://365and.sharepoint.com/Users/dell/Desktop/cesar/HISTORICOS/[2020-04-22_Formato_informe_sci_parametrizado_final.xlsx]Analisis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defaultColWidth="11.42578125" defaultRowHeight="14.45"/>
  <cols>
    <col min="2" max="2" width="31" bestFit="1" customWidth="1"/>
    <col min="3" max="3" width="17.140625" customWidth="1"/>
    <col min="5" max="5" width="15.140625" customWidth="1"/>
    <col min="10" max="10" width="15.7109375" customWidth="1"/>
    <col min="11" max="11" width="12" bestFit="1" customWidth="1"/>
  </cols>
  <sheetData>
    <row r="1" spans="1:11" ht="84.75" customHeight="1">
      <c r="A1" s="143" t="s">
        <v>25</v>
      </c>
      <c r="B1" s="143" t="s">
        <v>6</v>
      </c>
      <c r="C1" s="144" t="s">
        <v>8</v>
      </c>
      <c r="D1" s="145" t="s">
        <v>26</v>
      </c>
      <c r="E1" s="145" t="s">
        <v>27</v>
      </c>
      <c r="F1" s="145" t="s">
        <v>192</v>
      </c>
      <c r="G1" s="146" t="s">
        <v>193</v>
      </c>
      <c r="H1" s="146" t="s">
        <v>194</v>
      </c>
      <c r="I1" s="146" t="s">
        <v>163</v>
      </c>
      <c r="J1" s="146" t="s">
        <v>195</v>
      </c>
      <c r="K1" s="146" t="s">
        <v>196</v>
      </c>
    </row>
    <row r="2" spans="1:11">
      <c r="A2" s="147" t="s">
        <v>197</v>
      </c>
      <c r="B2" s="147" t="str">
        <f>+VLOOKUP(A2,'Estado SCI'!$A$16:$C$59,3,0)</f>
        <v>AMBIENTE DE CONTROL</v>
      </c>
      <c r="C2" s="147" t="s">
        <v>33</v>
      </c>
      <c r="D2" s="147" t="s">
        <v>34</v>
      </c>
      <c r="E2" s="147" t="s">
        <v>35</v>
      </c>
      <c r="F2" s="147" t="str">
        <f>+VLOOKUP(A2,'Estado SCI'!$A$16:$I$59,9,0)</f>
        <v>Mantenimiento del control</v>
      </c>
      <c r="G2" s="147">
        <f>+VLOOKUP(A2,'Estado SCI'!$A$16:$L$59,12,0)</f>
        <v>20.123000000000001</v>
      </c>
      <c r="H2" s="147">
        <f t="shared" ref="H2:H45" si="0">+_xlfn.RANK.EQ(G2,$G$2:$G$45,1)</f>
        <v>4</v>
      </c>
      <c r="I2" s="147" t="str">
        <f>+IF(VLOOKUP(A2,'Estado SCI'!$A$16:$G$59,7,0)="","",VLOOKUP(A2,'Estado SCI'!$A$16:$G$59,7,0))</f>
        <v>Si</v>
      </c>
      <c r="J2" s="148">
        <f>+IF(I2="Si",1,IF(I2="En proceso",0.5,0))</f>
        <v>1</v>
      </c>
      <c r="K2" s="149">
        <f t="shared" ref="K2:K45" si="1">+AVERAGEIF($B$2:$B$45,B2,$J$2:$J$45)</f>
        <v>0.875</v>
      </c>
    </row>
    <row r="3" spans="1:11">
      <c r="A3" s="147" t="s">
        <v>198</v>
      </c>
      <c r="B3" s="147" t="s">
        <v>32</v>
      </c>
      <c r="C3" s="147" t="s">
        <v>33</v>
      </c>
      <c r="D3" s="147" t="s">
        <v>38</v>
      </c>
      <c r="E3" s="147" t="s">
        <v>39</v>
      </c>
      <c r="F3" s="147" t="str">
        <f>+VLOOKUP(A3,'Estado SCI'!$A$16:$I$59,9,0)</f>
        <v>Mantenimiento del control</v>
      </c>
      <c r="G3" s="147">
        <f>+VLOOKUP(A3,'Estado SCI'!$A$16:$L$59,12,0)</f>
        <v>20.1234</v>
      </c>
      <c r="H3" s="147">
        <f t="shared" si="0"/>
        <v>5</v>
      </c>
      <c r="I3" s="147" t="str">
        <f>+IF(VLOOKUP(A3,'Estado SCI'!$A$16:$G$59,7,0)="","",VLOOKUP(A3,'Estado SCI'!$A$16:$G$59,7,0))</f>
        <v>Si</v>
      </c>
      <c r="J3" s="148">
        <f t="shared" ref="J3:J45" si="2">+IF(I3="Si",1,IF(I3="En proceso",0.5,0))</f>
        <v>1</v>
      </c>
      <c r="K3" s="149">
        <f t="shared" si="1"/>
        <v>0.875</v>
      </c>
    </row>
    <row r="4" spans="1:11">
      <c r="A4" s="147" t="s">
        <v>199</v>
      </c>
      <c r="B4" s="147" t="s">
        <v>32</v>
      </c>
      <c r="C4" s="147" t="s">
        <v>33</v>
      </c>
      <c r="D4" s="147" t="s">
        <v>41</v>
      </c>
      <c r="E4" s="147" t="s">
        <v>42</v>
      </c>
      <c r="F4" s="147" t="str">
        <f>+VLOOKUP(A4,'Estado SCI'!$A$16:$I$59,9,0)</f>
        <v>Mantenimiento del control</v>
      </c>
      <c r="G4" s="147">
        <f>+VLOOKUP(A4,'Estado SCI'!$A$16:$L$59,12,0)</f>
        <v>20.123449999999998</v>
      </c>
      <c r="H4" s="147">
        <f t="shared" si="0"/>
        <v>6</v>
      </c>
      <c r="I4" s="147" t="str">
        <f>+IF(VLOOKUP(A4,'Estado SCI'!$A$16:$G$59,7,0)="","",VLOOKUP(A4,'Estado SCI'!$A$16:$G$59,7,0))</f>
        <v>Si</v>
      </c>
      <c r="J4" s="148">
        <f t="shared" si="2"/>
        <v>1</v>
      </c>
      <c r="K4" s="149">
        <f t="shared" si="1"/>
        <v>0.875</v>
      </c>
    </row>
    <row r="5" spans="1:11">
      <c r="A5" s="147" t="s">
        <v>200</v>
      </c>
      <c r="B5" s="147" t="s">
        <v>32</v>
      </c>
      <c r="C5" s="147" t="s">
        <v>33</v>
      </c>
      <c r="D5" s="147" t="s">
        <v>44</v>
      </c>
      <c r="E5" s="147" t="s">
        <v>45</v>
      </c>
      <c r="F5" s="147" t="str">
        <f>+VLOOKUP(A5,'Estado SCI'!$A$16:$I$59,9,0)</f>
        <v>Oportunidad de mejora</v>
      </c>
      <c r="G5" s="147">
        <f>+VLOOKUP(A5,'Estado SCI'!$A$16:$L$59,12,0)</f>
        <v>10.123455999999999</v>
      </c>
      <c r="H5" s="147">
        <f t="shared" si="0"/>
        <v>1</v>
      </c>
      <c r="I5" s="147" t="str">
        <f>+IF(VLOOKUP(A5,'Estado SCI'!$A$16:$G$59,7,0)="","",VLOOKUP(A5,'Estado SCI'!$A$16:$G$59,7,0))</f>
        <v>En proceso</v>
      </c>
      <c r="J5" s="148">
        <f t="shared" si="2"/>
        <v>0.5</v>
      </c>
      <c r="K5" s="149">
        <f t="shared" si="1"/>
        <v>0.875</v>
      </c>
    </row>
    <row r="6" spans="1:11">
      <c r="A6" s="147" t="s">
        <v>201</v>
      </c>
      <c r="B6" s="147" t="s">
        <v>32</v>
      </c>
      <c r="C6" s="147" t="s">
        <v>33</v>
      </c>
      <c r="D6" s="147" t="s">
        <v>48</v>
      </c>
      <c r="E6" s="147" t="s">
        <v>49</v>
      </c>
      <c r="F6" s="147" t="str">
        <f>+VLOOKUP(A6,'Estado SCI'!$A$16:$I$59,9,0)</f>
        <v>Oportunidad de mejora</v>
      </c>
      <c r="G6" s="147">
        <f>+VLOOKUP(A6,'Estado SCI'!$A$16:$L$59,12,0)</f>
        <v>10.12345678</v>
      </c>
      <c r="H6" s="147">
        <f t="shared" si="0"/>
        <v>2</v>
      </c>
      <c r="I6" s="147" t="str">
        <f>+IF(VLOOKUP(A6,'Estado SCI'!$A$16:$G$59,7,0)="","",VLOOKUP(A6,'Estado SCI'!$A$16:$G$59,7,0))</f>
        <v>En proceso</v>
      </c>
      <c r="J6" s="148">
        <f t="shared" si="2"/>
        <v>0.5</v>
      </c>
      <c r="K6" s="149">
        <f t="shared" si="1"/>
        <v>0.875</v>
      </c>
    </row>
    <row r="7" spans="1:11">
      <c r="A7" s="147" t="s">
        <v>202</v>
      </c>
      <c r="B7" s="147" t="s">
        <v>32</v>
      </c>
      <c r="C7" s="147" t="s">
        <v>33</v>
      </c>
      <c r="D7" s="147" t="s">
        <v>51</v>
      </c>
      <c r="E7" s="147" t="s">
        <v>52</v>
      </c>
      <c r="F7" s="147" t="str">
        <f>+VLOOKUP(A7,'Estado SCI'!$A$16:$I$59,9,0)</f>
        <v>Mantenimiento del control</v>
      </c>
      <c r="G7" s="147">
        <f>+VLOOKUP(A7,'Estado SCI'!$A$16:$L$59,12,0)</f>
        <v>20.123456788999999</v>
      </c>
      <c r="H7" s="147">
        <f t="shared" si="0"/>
        <v>7</v>
      </c>
      <c r="I7" s="147" t="str">
        <f>+IF(VLOOKUP(A7,'Estado SCI'!$A$16:$G$59,7,0)="","",VLOOKUP(A7,'Estado SCI'!$A$16:$G$59,7,0))</f>
        <v>Si</v>
      </c>
      <c r="J7" s="148">
        <f t="shared" si="2"/>
        <v>1</v>
      </c>
      <c r="K7" s="149">
        <f t="shared" si="1"/>
        <v>0.875</v>
      </c>
    </row>
    <row r="8" spans="1:11">
      <c r="A8" s="147" t="s">
        <v>203</v>
      </c>
      <c r="B8" s="147" t="s">
        <v>32</v>
      </c>
      <c r="C8" s="147" t="s">
        <v>33</v>
      </c>
      <c r="D8" s="147" t="s">
        <v>54</v>
      </c>
      <c r="E8" s="147" t="s">
        <v>55</v>
      </c>
      <c r="F8" s="147" t="str">
        <f>+VLOOKUP(A8,'Estado SCI'!$A$16:$I$59,9,0)</f>
        <v>Mantenimiento del control</v>
      </c>
      <c r="G8" s="147">
        <f>+VLOOKUP(A8,'Estado SCI'!$A$16:$L$59,12,0)</f>
        <v>20.1234567891</v>
      </c>
      <c r="H8" s="147">
        <f t="shared" si="0"/>
        <v>8</v>
      </c>
      <c r="I8" s="147" t="str">
        <f>+IF(VLOOKUP(A8,'Estado SCI'!$A$16:$G$59,7,0)="","",VLOOKUP(A8,'Estado SCI'!$A$16:$G$59,7,0))</f>
        <v>Si</v>
      </c>
      <c r="J8" s="148">
        <f t="shared" si="2"/>
        <v>1</v>
      </c>
      <c r="K8" s="149">
        <f t="shared" si="1"/>
        <v>0.875</v>
      </c>
    </row>
    <row r="9" spans="1:11">
      <c r="A9" s="147" t="s">
        <v>204</v>
      </c>
      <c r="B9" s="147" t="s">
        <v>32</v>
      </c>
      <c r="C9" s="147" t="s">
        <v>33</v>
      </c>
      <c r="D9" s="147" t="s">
        <v>57</v>
      </c>
      <c r="E9" s="147" t="s">
        <v>58</v>
      </c>
      <c r="F9" s="147" t="str">
        <f>+VLOOKUP(A9,'Estado SCI'!$A$16:$I$59,9,0)</f>
        <v>Oportunidad de mejora</v>
      </c>
      <c r="G9" s="147">
        <f>+VLOOKUP(A9,'Estado SCI'!$A$16:$L$59,12,0)</f>
        <v>10.12345678912</v>
      </c>
      <c r="H9" s="147">
        <f t="shared" si="0"/>
        <v>3</v>
      </c>
      <c r="I9" s="147" t="str">
        <f>+IF(VLOOKUP(A9,'Estado SCI'!$A$16:$G$59,7,0)="","",VLOOKUP(A9,'Estado SCI'!$A$16:$G$59,7,0))</f>
        <v>En proceso</v>
      </c>
      <c r="J9" s="148">
        <f t="shared" si="2"/>
        <v>0.5</v>
      </c>
      <c r="K9" s="149">
        <f t="shared" si="1"/>
        <v>0.875</v>
      </c>
    </row>
    <row r="10" spans="1:11">
      <c r="A10" s="147" t="s">
        <v>205</v>
      </c>
      <c r="B10" s="147" t="s">
        <v>32</v>
      </c>
      <c r="C10" s="147" t="s">
        <v>33</v>
      </c>
      <c r="D10" s="147" t="s">
        <v>60</v>
      </c>
      <c r="E10" s="147" t="s">
        <v>61</v>
      </c>
      <c r="F10" s="147" t="str">
        <f>+VLOOKUP(A10,'Estado SCI'!$A$16:$I$59,9,0)</f>
        <v>Mantenimiento del control</v>
      </c>
      <c r="G10" s="147">
        <f>+VLOOKUP(A10,'Estado SCI'!$A$16:$L$59,12,0)</f>
        <v>20.123456789123001</v>
      </c>
      <c r="H10" s="147">
        <f t="shared" si="0"/>
        <v>9</v>
      </c>
      <c r="I10" s="147" t="str">
        <f>+IF(VLOOKUP(A10,'Estado SCI'!$A$16:$G$59,7,0)="","",VLOOKUP(A10,'Estado SCI'!$A$16:$G$59,7,0))</f>
        <v>Si</v>
      </c>
      <c r="J10" s="148">
        <f t="shared" si="2"/>
        <v>1</v>
      </c>
      <c r="K10" s="149">
        <f t="shared" si="1"/>
        <v>0.875</v>
      </c>
    </row>
    <row r="11" spans="1:11">
      <c r="A11" s="147" t="s">
        <v>206</v>
      </c>
      <c r="B11" s="147" t="s">
        <v>32</v>
      </c>
      <c r="C11" s="147" t="s">
        <v>33</v>
      </c>
      <c r="D11" s="147" t="s">
        <v>63</v>
      </c>
      <c r="E11" s="147" t="s">
        <v>64</v>
      </c>
      <c r="F11" s="147" t="str">
        <f>+VLOOKUP(A11,'Estado SCI'!$A$16:$I$59,9,0)</f>
        <v>Mantenimiento del control</v>
      </c>
      <c r="G11" s="147">
        <f>+VLOOKUP(A11,'Estado SCI'!$A$16:$L$59,12,0)</f>
        <v>20.123456789123399</v>
      </c>
      <c r="H11" s="147">
        <f t="shared" si="0"/>
        <v>10</v>
      </c>
      <c r="I11" s="147" t="str">
        <f>+IF(VLOOKUP(A11,'Estado SCI'!$A$16:$G$59,7,0)="","",VLOOKUP(A11,'Estado SCI'!$A$16:$G$59,7,0))</f>
        <v>Si</v>
      </c>
      <c r="J11" s="148">
        <f t="shared" si="2"/>
        <v>1</v>
      </c>
      <c r="K11" s="149">
        <f t="shared" si="1"/>
        <v>0.875</v>
      </c>
    </row>
    <row r="12" spans="1:11">
      <c r="A12" s="147" t="s">
        <v>207</v>
      </c>
      <c r="B12" s="147" t="s">
        <v>32</v>
      </c>
      <c r="C12" s="147" t="s">
        <v>33</v>
      </c>
      <c r="D12" s="147" t="s">
        <v>66</v>
      </c>
      <c r="E12" s="147" t="s">
        <v>67</v>
      </c>
      <c r="F12" s="147" t="str">
        <f>+VLOOKUP(A12,'Estado SCI'!$A$16:$I$59,9,0)</f>
        <v>Mantenimiento del control</v>
      </c>
      <c r="G12" s="147">
        <f>+VLOOKUP(A12,'Estado SCI'!$A$16:$L$59,12,0)</f>
        <v>20.123456789123448</v>
      </c>
      <c r="H12" s="147">
        <f t="shared" si="0"/>
        <v>11</v>
      </c>
      <c r="I12" s="147" t="str">
        <f>+IF(VLOOKUP(A12,'Estado SCI'!$A$16:$G$59,7,0)="","",VLOOKUP(A12,'Estado SCI'!$A$16:$G$59,7,0))</f>
        <v>Si</v>
      </c>
      <c r="J12" s="148">
        <f t="shared" si="2"/>
        <v>1</v>
      </c>
      <c r="K12" s="149">
        <f t="shared" si="1"/>
        <v>0.875</v>
      </c>
    </row>
    <row r="13" spans="1:11">
      <c r="A13" s="147" t="s">
        <v>208</v>
      </c>
      <c r="B13" s="147" t="s">
        <v>32</v>
      </c>
      <c r="C13" s="147" t="s">
        <v>33</v>
      </c>
      <c r="D13" s="147" t="s">
        <v>69</v>
      </c>
      <c r="E13" s="147" t="s">
        <v>70</v>
      </c>
      <c r="F13" s="147" t="str">
        <f>+VLOOKUP(A13,'Estado SCI'!$A$16:$I$59,9,0)</f>
        <v>Mantenimiento del control</v>
      </c>
      <c r="G13" s="147">
        <f>+VLOOKUP(A13,'Estado SCI'!$A$16:$L$59,12,0)</f>
        <v>20.123456789123455</v>
      </c>
      <c r="H13" s="147">
        <f t="shared" si="0"/>
        <v>12</v>
      </c>
      <c r="I13" s="147" t="str">
        <f>+IF(VLOOKUP(A13,'Estado SCI'!$A$16:$G$59,7,0)="","",VLOOKUP(A13,'Estado SCI'!$A$16:$G$59,7,0))</f>
        <v>Si</v>
      </c>
      <c r="J13" s="148">
        <f t="shared" si="2"/>
        <v>1</v>
      </c>
      <c r="K13" s="149">
        <f t="shared" si="1"/>
        <v>0.875</v>
      </c>
    </row>
    <row r="14" spans="1:11" ht="15" customHeight="1">
      <c r="A14" s="147" t="s">
        <v>209</v>
      </c>
      <c r="B14" s="147" t="str">
        <f>+VLOOKUP(A14,'Estado SCI'!$A$16:$C$59,3,0)</f>
        <v>EVALUACION DEL RIESGO</v>
      </c>
      <c r="C14" s="147" t="s">
        <v>74</v>
      </c>
      <c r="D14" s="147" t="s">
        <v>34</v>
      </c>
      <c r="E14" s="147" t="s">
        <v>210</v>
      </c>
      <c r="F14" s="147" t="str">
        <f>+VLOOKUP(A14,'Estado SCI'!$A$16:$I$59,9,0)</f>
        <v>Mantenimiento del control</v>
      </c>
      <c r="G14" s="147">
        <f>+VLOOKUP(A14,'Estado SCI'!$A$16:$L$59,12,0)</f>
        <v>40.229999999999997</v>
      </c>
      <c r="H14" s="147">
        <f t="shared" si="0"/>
        <v>15</v>
      </c>
      <c r="I14" s="147" t="str">
        <f>+IF(VLOOKUP(A14,'Estado SCI'!$A$16:$G$59,7,0)="","",VLOOKUP(A14,'Estado SCI'!$A$16:$G$59,7,0))</f>
        <v>Si</v>
      </c>
      <c r="J14" s="148">
        <f t="shared" si="2"/>
        <v>1</v>
      </c>
      <c r="K14" s="149">
        <f t="shared" si="1"/>
        <v>0.85</v>
      </c>
    </row>
    <row r="15" spans="1:11" ht="15" customHeight="1">
      <c r="A15" s="147" t="s">
        <v>211</v>
      </c>
      <c r="B15" s="147" t="s">
        <v>73</v>
      </c>
      <c r="C15" s="147" t="s">
        <v>74</v>
      </c>
      <c r="D15" s="147" t="s">
        <v>38</v>
      </c>
      <c r="E15" s="147" t="s">
        <v>212</v>
      </c>
      <c r="F15" s="147" t="str">
        <f>+VLOOKUP(A15,'Estado SCI'!$A$16:$I$59,9,0)</f>
        <v>Mantenimiento del control</v>
      </c>
      <c r="G15" s="147">
        <f>+VLOOKUP(A15,'Estado SCI'!$A$16:$L$59,12,0)</f>
        <v>40.234000000000002</v>
      </c>
      <c r="H15" s="147">
        <f t="shared" si="0"/>
        <v>16</v>
      </c>
      <c r="I15" s="147" t="str">
        <f>+IF(VLOOKUP(A15,'Estado SCI'!$A$16:$G$59,7,0)="","",VLOOKUP(A15,'Estado SCI'!$A$16:$G$59,7,0))</f>
        <v>Si</v>
      </c>
      <c r="J15" s="148">
        <f t="shared" si="2"/>
        <v>1</v>
      </c>
      <c r="K15" s="149">
        <f t="shared" si="1"/>
        <v>0.85</v>
      </c>
    </row>
    <row r="16" spans="1:11" ht="15" customHeight="1">
      <c r="A16" s="147" t="s">
        <v>213</v>
      </c>
      <c r="B16" s="147" t="s">
        <v>73</v>
      </c>
      <c r="C16" s="147" t="s">
        <v>74</v>
      </c>
      <c r="D16" s="147" t="s">
        <v>41</v>
      </c>
      <c r="E16" s="147" t="s">
        <v>214</v>
      </c>
      <c r="F16" s="147" t="str">
        <f>+VLOOKUP(A16,'Estado SCI'!$A$16:$I$59,9,0)</f>
        <v>Mantenimiento del control</v>
      </c>
      <c r="G16" s="147">
        <f>+VLOOKUP(A16,'Estado SCI'!$A$16:$L$59,12,0)</f>
        <v>40.234499999999997</v>
      </c>
      <c r="H16" s="147">
        <f t="shared" si="0"/>
        <v>17</v>
      </c>
      <c r="I16" s="147" t="str">
        <f>+IF(VLOOKUP(A16,'Estado SCI'!$A$16:$G$59,7,0)="","",VLOOKUP(A16,'Estado SCI'!$A$16:$G$59,7,0))</f>
        <v>Si</v>
      </c>
      <c r="J16" s="148">
        <f t="shared" si="2"/>
        <v>1</v>
      </c>
      <c r="K16" s="149">
        <f t="shared" si="1"/>
        <v>0.85</v>
      </c>
    </row>
    <row r="17" spans="1:11" ht="15.75" customHeight="1">
      <c r="A17" s="147" t="s">
        <v>215</v>
      </c>
      <c r="B17" s="147" t="s">
        <v>73</v>
      </c>
      <c r="C17" s="147" t="s">
        <v>74</v>
      </c>
      <c r="D17" s="147" t="s">
        <v>44</v>
      </c>
      <c r="E17" s="147" t="s">
        <v>81</v>
      </c>
      <c r="F17" s="147" t="str">
        <f>+VLOOKUP(A17,'Estado SCI'!$A$16:$I$59,9,0)</f>
        <v>Oportunidad de mejora</v>
      </c>
      <c r="G17" s="147">
        <f>+VLOOKUP(A17,'Estado SCI'!$A$16:$L$59,12,0)</f>
        <v>30.234559999999998</v>
      </c>
      <c r="H17" s="147">
        <f t="shared" si="0"/>
        <v>14</v>
      </c>
      <c r="I17" s="147" t="str">
        <f>+IF(VLOOKUP(A17,'Estado SCI'!$A$16:$G$59,7,0)="","",VLOOKUP(A17,'Estado SCI'!$A$16:$G$59,7,0))</f>
        <v>En proceso</v>
      </c>
      <c r="J17" s="148">
        <f t="shared" si="2"/>
        <v>0.5</v>
      </c>
      <c r="K17" s="149">
        <f t="shared" si="1"/>
        <v>0.85</v>
      </c>
    </row>
    <row r="18" spans="1:11" ht="15" customHeight="1">
      <c r="A18" s="147" t="s">
        <v>216</v>
      </c>
      <c r="B18" s="147" t="s">
        <v>73</v>
      </c>
      <c r="C18" s="147" t="s">
        <v>102</v>
      </c>
      <c r="D18" s="147" t="s">
        <v>34</v>
      </c>
      <c r="E18" s="147" t="s">
        <v>85</v>
      </c>
      <c r="F18" s="147" t="str">
        <f>+VLOOKUP(A18,'Estado SCI'!$A$16:$I$59,9,0)</f>
        <v>Mantenimiento del control</v>
      </c>
      <c r="G18" s="147">
        <f>+VLOOKUP(A18,'Estado SCI'!$A$16:$L$59,12,0)</f>
        <v>40.234566999999998</v>
      </c>
      <c r="H18" s="147">
        <f t="shared" si="0"/>
        <v>18</v>
      </c>
      <c r="I18" s="147" t="str">
        <f>+IF(VLOOKUP(A18,'Estado SCI'!$A$16:$G$59,7,0)="","",VLOOKUP(A18,'Estado SCI'!$A$16:$G$59,7,0))</f>
        <v>Si</v>
      </c>
      <c r="J18" s="148">
        <f t="shared" si="2"/>
        <v>1</v>
      </c>
      <c r="K18" s="149">
        <f t="shared" si="1"/>
        <v>0.85</v>
      </c>
    </row>
    <row r="19" spans="1:11" ht="15" customHeight="1">
      <c r="A19" s="147" t="s">
        <v>217</v>
      </c>
      <c r="B19" s="147" t="s">
        <v>73</v>
      </c>
      <c r="C19" s="147" t="s">
        <v>102</v>
      </c>
      <c r="D19" s="147" t="s">
        <v>38</v>
      </c>
      <c r="E19" s="147" t="s">
        <v>87</v>
      </c>
      <c r="F19" s="147" t="str">
        <f>+VLOOKUP(A19,'Estado SCI'!$A$16:$I$59,9,0)</f>
        <v>Mantenimiento del control</v>
      </c>
      <c r="G19" s="147">
        <f>+VLOOKUP(A19,'Estado SCI'!$A$16:$L$59,12,0)</f>
        <v>40.234567800000001</v>
      </c>
      <c r="H19" s="147">
        <f t="shared" si="0"/>
        <v>19</v>
      </c>
      <c r="I19" s="147" t="str">
        <f>+IF(VLOOKUP(A19,'Estado SCI'!$A$16:$G$59,7,0)="","",VLOOKUP(A19,'Estado SCI'!$A$16:$G$59,7,0))</f>
        <v>Si</v>
      </c>
      <c r="J19" s="148">
        <f t="shared" si="2"/>
        <v>1</v>
      </c>
      <c r="K19" s="149">
        <f t="shared" si="1"/>
        <v>0.85</v>
      </c>
    </row>
    <row r="20" spans="1:11" ht="15" customHeight="1">
      <c r="A20" s="147" t="s">
        <v>218</v>
      </c>
      <c r="B20" s="147" t="s">
        <v>73</v>
      </c>
      <c r="C20" s="147" t="s">
        <v>102</v>
      </c>
      <c r="D20" s="147" t="s">
        <v>41</v>
      </c>
      <c r="E20" s="147" t="s">
        <v>89</v>
      </c>
      <c r="F20" s="147" t="str">
        <f>+VLOOKUP(A20,'Estado SCI'!$A$16:$I$59,9,0)</f>
        <v>Mantenimiento del control</v>
      </c>
      <c r="G20" s="147">
        <f>+VLOOKUP(A20,'Estado SCI'!$A$16:$L$59,12,0)</f>
        <v>40.234567890000001</v>
      </c>
      <c r="H20" s="147">
        <f t="shared" si="0"/>
        <v>20</v>
      </c>
      <c r="I20" s="147" t="str">
        <f>+IF(VLOOKUP(A20,'Estado SCI'!$A$16:$G$59,7,0)="","",VLOOKUP(A20,'Estado SCI'!$A$16:$G$59,7,0))</f>
        <v>Si</v>
      </c>
      <c r="J20" s="148">
        <f t="shared" si="2"/>
        <v>1</v>
      </c>
      <c r="K20" s="149">
        <f t="shared" si="1"/>
        <v>0.85</v>
      </c>
    </row>
    <row r="21" spans="1:11" ht="15.75" customHeight="1">
      <c r="A21" s="147" t="s">
        <v>219</v>
      </c>
      <c r="B21" s="147" t="s">
        <v>73</v>
      </c>
      <c r="C21" s="147" t="s">
        <v>102</v>
      </c>
      <c r="D21" s="147" t="s">
        <v>34</v>
      </c>
      <c r="E21" s="147" t="s">
        <v>93</v>
      </c>
      <c r="F21" s="147" t="str">
        <f>+VLOOKUP(A21,'Estado SCI'!$A$16:$I$59,9,0)</f>
        <v>Mantenimiento del control</v>
      </c>
      <c r="G21" s="147">
        <f>+VLOOKUP(A21,'Estado SCI'!$A$16:$L$59,12,0)</f>
        <v>40.234567891200001</v>
      </c>
      <c r="H21" s="147">
        <f t="shared" si="0"/>
        <v>21</v>
      </c>
      <c r="I21" s="147" t="str">
        <f>+IF(VLOOKUP(A21,'Estado SCI'!$A$16:$G$59,7,0)="","",VLOOKUP(A21,'Estado SCI'!$A$16:$G$59,7,0))</f>
        <v>Si</v>
      </c>
      <c r="J21" s="148">
        <f t="shared" si="2"/>
        <v>1</v>
      </c>
      <c r="K21" s="149">
        <f t="shared" si="1"/>
        <v>0.85</v>
      </c>
    </row>
    <row r="22" spans="1:11" ht="15" customHeight="1">
      <c r="A22" s="147" t="s">
        <v>220</v>
      </c>
      <c r="B22" s="147" t="s">
        <v>73</v>
      </c>
      <c r="C22" s="147" t="s">
        <v>115</v>
      </c>
      <c r="D22" s="147" t="s">
        <v>38</v>
      </c>
      <c r="E22" s="147" t="s">
        <v>95</v>
      </c>
      <c r="F22" s="147" t="str">
        <f>+VLOOKUP(A22,'Estado SCI'!$A$16:$I$59,9,0)</f>
        <v>Mantenimiento del control</v>
      </c>
      <c r="G22" s="147">
        <f>+VLOOKUP(A22,'Estado SCI'!$A$16:$L$59,12,0)</f>
        <v>40.23456789123</v>
      </c>
      <c r="H22" s="147">
        <f t="shared" si="0"/>
        <v>22</v>
      </c>
      <c r="I22" s="147" t="str">
        <f>+IF(VLOOKUP(A22,'Estado SCI'!$A$16:$G$59,7,0)="","",VLOOKUP(A22,'Estado SCI'!$A$16:$G$59,7,0))</f>
        <v>Si</v>
      </c>
      <c r="J22" s="148">
        <f t="shared" si="2"/>
        <v>1</v>
      </c>
      <c r="K22" s="149">
        <f t="shared" si="1"/>
        <v>0.85</v>
      </c>
    </row>
    <row r="23" spans="1:11" ht="15" customHeight="1">
      <c r="A23" s="147" t="s">
        <v>221</v>
      </c>
      <c r="B23" s="147" t="s">
        <v>73</v>
      </c>
      <c r="C23" s="147" t="s">
        <v>115</v>
      </c>
      <c r="D23" s="147" t="s">
        <v>41</v>
      </c>
      <c r="E23" s="147" t="s">
        <v>97</v>
      </c>
      <c r="F23" s="147" t="str">
        <f>+VLOOKUP(A23,'Estado SCI'!$A$16:$I$59,9,0)</f>
        <v>Deficiencia de control</v>
      </c>
      <c r="G23" s="147">
        <f>+VLOOKUP(A23,'Estado SCI'!$A$16:$L$59,12,0)</f>
        <v>20.234567891234001</v>
      </c>
      <c r="H23" s="147">
        <f t="shared" si="0"/>
        <v>13</v>
      </c>
      <c r="I23" s="147" t="str">
        <f>+IF(VLOOKUP(A23,'Estado SCI'!$A$16:$G$59,7,0)="","",VLOOKUP(A23,'Estado SCI'!$A$16:$G$59,7,0))</f>
        <v>No</v>
      </c>
      <c r="J23" s="148">
        <f t="shared" si="2"/>
        <v>0</v>
      </c>
      <c r="K23" s="149">
        <f t="shared" si="1"/>
        <v>0.85</v>
      </c>
    </row>
    <row r="24" spans="1:11" ht="15" customHeight="1">
      <c r="A24" s="147" t="s">
        <v>222</v>
      </c>
      <c r="B24" s="147" t="str">
        <f>+VLOOKUP(A24,'Estado SCI'!$A$16:$C$59,3,0)</f>
        <v>ACTIVIDADES DE CONTROL</v>
      </c>
      <c r="C24" s="147" t="s">
        <v>115</v>
      </c>
      <c r="D24" s="147" t="s">
        <v>34</v>
      </c>
      <c r="E24" s="147" t="s">
        <v>103</v>
      </c>
      <c r="F24" s="147" t="str">
        <f>+VLOOKUP(A24,'Estado SCI'!$A$16:$I$59,9,0)</f>
        <v>Mantenimiento del control</v>
      </c>
      <c r="G24" s="147">
        <f>+VLOOKUP(A24,'Estado SCI'!$A$16:$L$59,12,0)</f>
        <v>60.31</v>
      </c>
      <c r="H24" s="147">
        <f t="shared" si="0"/>
        <v>23</v>
      </c>
      <c r="I24" s="147" t="str">
        <f>+IF(VLOOKUP(A24,'Estado SCI'!$A$16:$G$59,7,0)="","",VLOOKUP(A24,'Estado SCI'!$A$16:$G$59,7,0))</f>
        <v>Si</v>
      </c>
      <c r="J24" s="148">
        <f t="shared" si="2"/>
        <v>1</v>
      </c>
      <c r="K24" s="149">
        <f t="shared" si="1"/>
        <v>1</v>
      </c>
    </row>
    <row r="25" spans="1:11" ht="15" customHeight="1">
      <c r="A25" s="147" t="s">
        <v>223</v>
      </c>
      <c r="B25" s="147" t="s">
        <v>101</v>
      </c>
      <c r="C25" s="147" t="s">
        <v>115</v>
      </c>
      <c r="D25" s="147" t="s">
        <v>38</v>
      </c>
      <c r="E25" s="147" t="s">
        <v>105</v>
      </c>
      <c r="F25" s="147" t="str">
        <f>+VLOOKUP(A25,'Estado SCI'!$A$16:$I$59,9,0)</f>
        <v>Mantenimiento del control</v>
      </c>
      <c r="G25" s="147">
        <f>+VLOOKUP(A25,'Estado SCI'!$A$16:$L$59,12,0)</f>
        <v>60.323</v>
      </c>
      <c r="H25" s="147">
        <f t="shared" si="0"/>
        <v>24</v>
      </c>
      <c r="I25" s="147" t="str">
        <f>+IF(VLOOKUP(A25,'Estado SCI'!$A$16:$G$59,7,0)="","",VLOOKUP(A25,'Estado SCI'!$A$16:$G$59,7,0))</f>
        <v>Si</v>
      </c>
      <c r="J25" s="148">
        <f t="shared" si="2"/>
        <v>1</v>
      </c>
      <c r="K25" s="149">
        <f t="shared" si="1"/>
        <v>1</v>
      </c>
    </row>
    <row r="26" spans="1:11" ht="15" customHeight="1">
      <c r="A26" s="147" t="s">
        <v>224</v>
      </c>
      <c r="B26" s="147" t="s">
        <v>101</v>
      </c>
      <c r="C26" s="147" t="s">
        <v>115</v>
      </c>
      <c r="D26" s="147" t="s">
        <v>41</v>
      </c>
      <c r="E26" s="147" t="s">
        <v>107</v>
      </c>
      <c r="F26" s="147" t="str">
        <f>+VLOOKUP(A26,'Estado SCI'!$A$16:$I$59,9,0)</f>
        <v>Mantenimiento del control</v>
      </c>
      <c r="G26" s="147">
        <f>+VLOOKUP(A26,'Estado SCI'!$A$16:$L$59,12,0)</f>
        <v>60.323999999999998</v>
      </c>
      <c r="H26" s="147">
        <f t="shared" si="0"/>
        <v>25</v>
      </c>
      <c r="I26" s="147" t="str">
        <f>+IF(VLOOKUP(A26,'Estado SCI'!$A$16:$G$59,7,0)="","",VLOOKUP(A26,'Estado SCI'!$A$16:$G$59,7,0))</f>
        <v>Si</v>
      </c>
      <c r="J26" s="148">
        <f t="shared" si="2"/>
        <v>1</v>
      </c>
      <c r="K26" s="149">
        <f t="shared" si="1"/>
        <v>1</v>
      </c>
    </row>
    <row r="27" spans="1:11" ht="15.75" customHeight="1">
      <c r="A27" s="147" t="s">
        <v>225</v>
      </c>
      <c r="B27" s="147" t="s">
        <v>101</v>
      </c>
      <c r="C27" s="147" t="s">
        <v>115</v>
      </c>
      <c r="D27" s="147" t="s">
        <v>44</v>
      </c>
      <c r="E27" s="147" t="s">
        <v>109</v>
      </c>
      <c r="F27" s="147" t="str">
        <f>+VLOOKUP(A27,'Estado SCI'!$A$16:$I$59,9,0)</f>
        <v>Mantenimiento del control</v>
      </c>
      <c r="G27" s="147">
        <f>+VLOOKUP(A27,'Estado SCI'!$A$16:$L$59,12,0)</f>
        <v>60.325000000000003</v>
      </c>
      <c r="H27" s="147">
        <f t="shared" si="0"/>
        <v>26</v>
      </c>
      <c r="I27" s="147" t="str">
        <f>+IF(VLOOKUP(A27,'Estado SCI'!$A$16:$G$59,7,0)="","",VLOOKUP(A27,'Estado SCI'!$A$16:$G$59,7,0))</f>
        <v>Si</v>
      </c>
      <c r="J27" s="148">
        <f t="shared" si="2"/>
        <v>1</v>
      </c>
      <c r="K27" s="149">
        <f t="shared" si="1"/>
        <v>1</v>
      </c>
    </row>
    <row r="28" spans="1:11" ht="15" customHeight="1">
      <c r="A28" s="147" t="s">
        <v>226</v>
      </c>
      <c r="B28" s="147" t="s">
        <v>101</v>
      </c>
      <c r="C28" s="147" t="s">
        <v>132</v>
      </c>
      <c r="D28" s="147" t="s">
        <v>48</v>
      </c>
      <c r="E28" s="147" t="s">
        <v>111</v>
      </c>
      <c r="F28" s="147" t="str">
        <f>+VLOOKUP(A28,'Estado SCI'!$A$16:$I$59,9,0)</f>
        <v>Mantenimiento del control</v>
      </c>
      <c r="G28" s="147">
        <f>+VLOOKUP(A28,'Estado SCI'!$A$16:$L$59,12,0)</f>
        <v>60.326000000000001</v>
      </c>
      <c r="H28" s="147">
        <f t="shared" si="0"/>
        <v>27</v>
      </c>
      <c r="I28" s="147" t="str">
        <f>+IF(VLOOKUP(A28,'Estado SCI'!$A$16:$G$59,7,0)="","",VLOOKUP(A28,'Estado SCI'!$A$16:$G$59,7,0))</f>
        <v>Si</v>
      </c>
      <c r="J28" s="148">
        <f t="shared" si="2"/>
        <v>1</v>
      </c>
      <c r="K28" s="149">
        <f t="shared" si="1"/>
        <v>1</v>
      </c>
    </row>
    <row r="29" spans="1:11" ht="15" customHeight="1">
      <c r="A29" s="147" t="s">
        <v>227</v>
      </c>
      <c r="B29" s="147" t="str">
        <f>+VLOOKUP(A29,'Estado SCI'!$A$16:$C$59,3,0)</f>
        <v>INFORMACION Y COMUNICACIÓN</v>
      </c>
      <c r="C29" s="147" t="s">
        <v>132</v>
      </c>
      <c r="D29" s="147" t="s">
        <v>34</v>
      </c>
      <c r="E29" s="147" t="s">
        <v>116</v>
      </c>
      <c r="F29" s="147" t="str">
        <f>+VLOOKUP(A29,'Estado SCI'!$A$16:$I$59,9,0)</f>
        <v>Mantenimiento del control</v>
      </c>
      <c r="G29" s="147">
        <f>+VLOOKUP(A29,'Estado SCI'!$A$16:$L$59,12,0)</f>
        <v>80.412000000000006</v>
      </c>
      <c r="H29" s="147">
        <f t="shared" si="0"/>
        <v>28</v>
      </c>
      <c r="I29" s="147" t="str">
        <f>+IF(VLOOKUP(A29,'Estado SCI'!$A$16:$G$59,7,0)="","",VLOOKUP(A29,'Estado SCI'!$A$16:$G$59,7,0))</f>
        <v>Si</v>
      </c>
      <c r="J29" s="148">
        <f t="shared" si="2"/>
        <v>1</v>
      </c>
      <c r="K29" s="149">
        <f t="shared" si="1"/>
        <v>1</v>
      </c>
    </row>
    <row r="30" spans="1:11" ht="15" customHeight="1">
      <c r="A30" s="147" t="s">
        <v>228</v>
      </c>
      <c r="B30" s="147" t="s">
        <v>114</v>
      </c>
      <c r="C30" s="147" t="s">
        <v>132</v>
      </c>
      <c r="D30" s="147" t="s">
        <v>38</v>
      </c>
      <c r="E30" s="147" t="s">
        <v>118</v>
      </c>
      <c r="F30" s="147" t="str">
        <f>+VLOOKUP(A30,'Estado SCI'!$A$16:$I$59,9,0)</f>
        <v>Mantenimiento del control</v>
      </c>
      <c r="G30" s="147">
        <f>+VLOOKUP(A30,'Estado SCI'!$A$16:$L$59,12,0)</f>
        <v>80.412300000000002</v>
      </c>
      <c r="H30" s="147">
        <f t="shared" si="0"/>
        <v>29</v>
      </c>
      <c r="I30" s="147" t="str">
        <f>+IF(VLOOKUP(A30,'Estado SCI'!$A$16:$G$59,7,0)="","",VLOOKUP(A30,'Estado SCI'!$A$16:$G$59,7,0))</f>
        <v>Si</v>
      </c>
      <c r="J30" s="148">
        <f t="shared" si="2"/>
        <v>1</v>
      </c>
      <c r="K30" s="149">
        <f t="shared" si="1"/>
        <v>1</v>
      </c>
    </row>
    <row r="31" spans="1:11" ht="15.75" customHeight="1">
      <c r="A31" s="147" t="s">
        <v>229</v>
      </c>
      <c r="B31" s="147" t="s">
        <v>114</v>
      </c>
      <c r="C31" s="147" t="s">
        <v>132</v>
      </c>
      <c r="D31" s="147" t="s">
        <v>41</v>
      </c>
      <c r="E31" s="147" t="s">
        <v>120</v>
      </c>
      <c r="F31" s="147" t="str">
        <f>+VLOOKUP(A31,'Estado SCI'!$A$16:$I$59,9,0)</f>
        <v>Mantenimiento del control</v>
      </c>
      <c r="G31" s="147">
        <f>+VLOOKUP(A31,'Estado SCI'!$A$16:$L$59,12,0)</f>
        <v>80.41234</v>
      </c>
      <c r="H31" s="147">
        <f t="shared" si="0"/>
        <v>30</v>
      </c>
      <c r="I31" s="147" t="str">
        <f>+IF(VLOOKUP(A31,'Estado SCI'!$A$16:$G$59,7,0)="","",VLOOKUP(A31,'Estado SCI'!$A$16:$G$59,7,0))</f>
        <v>Si</v>
      </c>
      <c r="J31" s="148">
        <f t="shared" si="2"/>
        <v>1</v>
      </c>
      <c r="K31" s="149">
        <f t="shared" si="1"/>
        <v>1</v>
      </c>
    </row>
    <row r="32" spans="1:11">
      <c r="A32" s="147" t="s">
        <v>230</v>
      </c>
      <c r="B32" s="147" t="s">
        <v>114</v>
      </c>
      <c r="C32" s="147" t="s">
        <v>142</v>
      </c>
      <c r="D32" s="147" t="s">
        <v>44</v>
      </c>
      <c r="E32" s="147" t="s">
        <v>122</v>
      </c>
      <c r="F32" s="147" t="str">
        <f>+VLOOKUP(A32,'Estado SCI'!$A$16:$I$59,9,0)</f>
        <v>Mantenimiento del control</v>
      </c>
      <c r="G32" s="147">
        <f>+VLOOKUP(A32,'Estado SCI'!$A$16:$L$59,12,0)</f>
        <v>80.412345000000002</v>
      </c>
      <c r="H32" s="147">
        <f t="shared" si="0"/>
        <v>31</v>
      </c>
      <c r="I32" s="147" t="str">
        <f>+IF(VLOOKUP(A32,'Estado SCI'!$A$16:$G$59,7,0)="","",VLOOKUP(A32,'Estado SCI'!$A$16:$G$59,7,0))</f>
        <v>Si</v>
      </c>
      <c r="J32" s="148">
        <f t="shared" si="2"/>
        <v>1</v>
      </c>
      <c r="K32" s="149">
        <f t="shared" si="1"/>
        <v>1</v>
      </c>
    </row>
    <row r="33" spans="1:11">
      <c r="A33" s="147" t="s">
        <v>231</v>
      </c>
      <c r="B33" s="147" t="s">
        <v>114</v>
      </c>
      <c r="C33" s="147" t="s">
        <v>232</v>
      </c>
      <c r="D33" s="147" t="s">
        <v>48</v>
      </c>
      <c r="E33" s="147" t="s">
        <v>124</v>
      </c>
      <c r="F33" s="147" t="str">
        <f>+VLOOKUP(A33,'Estado SCI'!$A$16:$I$59,9,0)</f>
        <v>Mantenimiento del control</v>
      </c>
      <c r="G33" s="147">
        <f>+VLOOKUP(A33,'Estado SCI'!$A$16:$L$59,12,0)</f>
        <v>80.412345599999995</v>
      </c>
      <c r="H33" s="147">
        <f t="shared" si="0"/>
        <v>32</v>
      </c>
      <c r="I33" s="147" t="str">
        <f>+IF(VLOOKUP(A33,'Estado SCI'!$A$16:$G$59,7,0)="","",VLOOKUP(A33,'Estado SCI'!$A$16:$G$59,7,0))</f>
        <v>Si</v>
      </c>
      <c r="J33" s="148">
        <f t="shared" si="2"/>
        <v>1</v>
      </c>
      <c r="K33" s="149">
        <f t="shared" si="1"/>
        <v>1</v>
      </c>
    </row>
    <row r="34" spans="1:11">
      <c r="A34" s="147" t="s">
        <v>233</v>
      </c>
      <c r="B34" s="147" t="s">
        <v>114</v>
      </c>
      <c r="C34" s="147" t="s">
        <v>232</v>
      </c>
      <c r="D34" s="147" t="s">
        <v>51</v>
      </c>
      <c r="E34" s="147" t="s">
        <v>126</v>
      </c>
      <c r="F34" s="147" t="str">
        <f>+VLOOKUP(A34,'Estado SCI'!$A$16:$I$59,9,0)</f>
        <v>Mantenimiento del control</v>
      </c>
      <c r="G34" s="147">
        <f>+VLOOKUP(A34,'Estado SCI'!$A$16:$L$59,12,0)</f>
        <v>80.412345669999993</v>
      </c>
      <c r="H34" s="147">
        <f t="shared" si="0"/>
        <v>33</v>
      </c>
      <c r="I34" s="147" t="str">
        <f>+IF(VLOOKUP(A34,'Estado SCI'!$A$16:$G$59,7,0)="","",VLOOKUP(A34,'Estado SCI'!$A$16:$G$59,7,0))</f>
        <v>Si</v>
      </c>
      <c r="J34" s="148">
        <f t="shared" si="2"/>
        <v>1</v>
      </c>
      <c r="K34" s="149">
        <f t="shared" si="1"/>
        <v>1</v>
      </c>
    </row>
    <row r="35" spans="1:11">
      <c r="A35" s="147" t="s">
        <v>234</v>
      </c>
      <c r="B35" s="147" t="s">
        <v>114</v>
      </c>
      <c r="C35" s="147" t="s">
        <v>232</v>
      </c>
      <c r="D35" s="147" t="s">
        <v>54</v>
      </c>
      <c r="E35" s="147" t="s">
        <v>128</v>
      </c>
      <c r="F35" s="147" t="str">
        <f>+VLOOKUP(A35,'Estado SCI'!$A$16:$I$59,9,0)</f>
        <v>Mantenimiento del control</v>
      </c>
      <c r="G35" s="147">
        <f>+VLOOKUP(A35,'Estado SCI'!$A$16:$L$59,12,0)</f>
        <v>80.412345677999994</v>
      </c>
      <c r="H35" s="147">
        <f t="shared" si="0"/>
        <v>34</v>
      </c>
      <c r="I35" s="147" t="str">
        <f>+IF(VLOOKUP(A35,'Estado SCI'!$A$16:$G$59,7,0)="","",VLOOKUP(A35,'Estado SCI'!$A$16:$G$59,7,0))</f>
        <v>Si</v>
      </c>
      <c r="J35" s="148">
        <f t="shared" si="2"/>
        <v>1</v>
      </c>
      <c r="K35" s="149">
        <f t="shared" si="1"/>
        <v>1</v>
      </c>
    </row>
    <row r="36" spans="1:11">
      <c r="A36" s="147" t="s">
        <v>235</v>
      </c>
      <c r="B36" s="147" t="str">
        <f>+VLOOKUP(A36,'Estado SCI'!$A$16:$C$59,3,0)</f>
        <v>ACTIVIDADES DE MONITOREO</v>
      </c>
      <c r="C36" s="147" t="s">
        <v>232</v>
      </c>
      <c r="D36" s="147" t="s">
        <v>34</v>
      </c>
      <c r="E36" s="147" t="s">
        <v>133</v>
      </c>
      <c r="F36" s="147" t="str">
        <f>+VLOOKUP(A36,'Estado SCI'!$A$16:$I$59,9,0)</f>
        <v>Mantenimiento del control</v>
      </c>
      <c r="G36" s="147">
        <f>+VLOOKUP(A36,'Estado SCI'!$A$16:$L$59,12,0)</f>
        <v>120.851</v>
      </c>
      <c r="H36" s="147">
        <f t="shared" si="0"/>
        <v>35</v>
      </c>
      <c r="I36" s="147" t="str">
        <f>+IF(VLOOKUP(A36,'Estado SCI'!$A$16:$G$59,7,0)="","",VLOOKUP(A36,'Estado SCI'!$A$16:$G$59,7,0))</f>
        <v>Si</v>
      </c>
      <c r="J36" s="148">
        <f t="shared" si="2"/>
        <v>1</v>
      </c>
      <c r="K36" s="149">
        <f t="shared" si="1"/>
        <v>1</v>
      </c>
    </row>
    <row r="37" spans="1:11">
      <c r="A37" s="147" t="s">
        <v>236</v>
      </c>
      <c r="B37" s="147" t="s">
        <v>131</v>
      </c>
      <c r="C37" s="147" t="s">
        <v>232</v>
      </c>
      <c r="D37" s="147" t="s">
        <v>44</v>
      </c>
      <c r="E37" s="147" t="s">
        <v>135</v>
      </c>
      <c r="F37" s="147" t="str">
        <f>+VLOOKUP(A37,'Estado SCI'!$A$16:$I$59,9,0)</f>
        <v>Mantenimiento del control</v>
      </c>
      <c r="G37" s="147">
        <f>+VLOOKUP(A37,'Estado SCI'!$A$16:$L$59,12,0)</f>
        <v>120.85120000000001</v>
      </c>
      <c r="H37" s="147">
        <f t="shared" si="0"/>
        <v>36</v>
      </c>
      <c r="I37" s="147" t="str">
        <f>+IF(VLOOKUP(A37,'Estado SCI'!$A$16:$G$59,7,0)="","",VLOOKUP(A37,'Estado SCI'!$A$16:$G$59,7,0))</f>
        <v>Si</v>
      </c>
      <c r="J37" s="148">
        <f t="shared" si="2"/>
        <v>1</v>
      </c>
      <c r="K37" s="149">
        <f t="shared" si="1"/>
        <v>1</v>
      </c>
    </row>
    <row r="38" spans="1:11">
      <c r="A38" s="147" t="s">
        <v>237</v>
      </c>
      <c r="B38" s="147" t="s">
        <v>131</v>
      </c>
      <c r="C38" s="147" t="s">
        <v>84</v>
      </c>
      <c r="D38" s="147" t="s">
        <v>51</v>
      </c>
      <c r="E38" s="147" t="s">
        <v>137</v>
      </c>
      <c r="F38" s="147" t="str">
        <f>+VLOOKUP(A38,'Estado SCI'!$A$16:$I$59,9,0)</f>
        <v>Mantenimiento del control</v>
      </c>
      <c r="G38" s="147">
        <f>+VLOOKUP(A38,'Estado SCI'!$A$16:$L$59,12,0)</f>
        <v>120.85123</v>
      </c>
      <c r="H38" s="147">
        <f t="shared" si="0"/>
        <v>37</v>
      </c>
      <c r="I38" s="147" t="str">
        <f>+IF(VLOOKUP(A38,'Estado SCI'!$A$16:$G$59,7,0)="","",VLOOKUP(A38,'Estado SCI'!$A$16:$G$59,7,0))</f>
        <v>Si</v>
      </c>
      <c r="J38" s="148">
        <f t="shared" si="2"/>
        <v>1</v>
      </c>
      <c r="K38" s="149">
        <f t="shared" si="1"/>
        <v>1</v>
      </c>
    </row>
    <row r="39" spans="1:11">
      <c r="A39" s="147" t="s">
        <v>238</v>
      </c>
      <c r="B39" s="147" t="s">
        <v>131</v>
      </c>
      <c r="C39" s="147" t="s">
        <v>84</v>
      </c>
      <c r="D39" s="147" t="s">
        <v>54</v>
      </c>
      <c r="E39" s="147" t="s">
        <v>139</v>
      </c>
      <c r="F39" s="147" t="str">
        <f>+VLOOKUP(A39,'Estado SCI'!$A$16:$I$59,9,0)</f>
        <v>Mantenimiento del control</v>
      </c>
      <c r="G39" s="147">
        <f>+VLOOKUP(A39,'Estado SCI'!$A$16:$L$59,12,0)</f>
        <v>120.85123400000001</v>
      </c>
      <c r="H39" s="147">
        <f t="shared" si="0"/>
        <v>38</v>
      </c>
      <c r="I39" s="147" t="str">
        <f>+IF(VLOOKUP(A39,'Estado SCI'!$A$16:$G$59,7,0)="","",VLOOKUP(A39,'Estado SCI'!$A$16:$G$59,7,0))</f>
        <v>Si</v>
      </c>
      <c r="J39" s="148">
        <f t="shared" si="2"/>
        <v>1</v>
      </c>
      <c r="K39" s="149">
        <f t="shared" si="1"/>
        <v>1</v>
      </c>
    </row>
    <row r="40" spans="1:11">
      <c r="A40" s="147" t="s">
        <v>239</v>
      </c>
      <c r="B40" s="147" t="s">
        <v>131</v>
      </c>
      <c r="C40" s="147" t="s">
        <v>84</v>
      </c>
      <c r="D40" s="147" t="s">
        <v>57</v>
      </c>
      <c r="E40" s="147" t="s">
        <v>143</v>
      </c>
      <c r="F40" s="147" t="str">
        <f>+VLOOKUP(A40,'Estado SCI'!$A$16:$I$59,9,0)</f>
        <v>Mantenimiento del control</v>
      </c>
      <c r="G40" s="147">
        <f>+VLOOKUP(A40,'Estado SCI'!$A$16:$L$59,12,0)</f>
        <v>120.8512345</v>
      </c>
      <c r="H40" s="147">
        <f t="shared" si="0"/>
        <v>39</v>
      </c>
      <c r="I40" s="147" t="str">
        <f>+IF(VLOOKUP(A40,'Estado SCI'!$A$16:$G$59,7,0)="","",VLOOKUP(A40,'Estado SCI'!$A$16:$G$59,7,0))</f>
        <v>Si</v>
      </c>
      <c r="J40" s="148">
        <f t="shared" si="2"/>
        <v>1</v>
      </c>
      <c r="K40" s="149">
        <f t="shared" si="1"/>
        <v>1</v>
      </c>
    </row>
    <row r="41" spans="1:11">
      <c r="A41" s="147" t="s">
        <v>240</v>
      </c>
      <c r="B41" s="147" t="s">
        <v>131</v>
      </c>
      <c r="C41" s="147" t="s">
        <v>84</v>
      </c>
      <c r="D41" s="147" t="s">
        <v>34</v>
      </c>
      <c r="E41" s="147" t="s">
        <v>147</v>
      </c>
      <c r="F41" s="147" t="str">
        <f>+VLOOKUP(A41,'Estado SCI'!$A$16:$I$59,9,0)</f>
        <v>Mantenimiento del control</v>
      </c>
      <c r="G41" s="147">
        <f>+VLOOKUP(A41,'Estado SCI'!$A$16:$L$59,12,0)</f>
        <v>120.85123455999999</v>
      </c>
      <c r="H41" s="147">
        <f t="shared" si="0"/>
        <v>40</v>
      </c>
      <c r="I41" s="147" t="str">
        <f>+IF(VLOOKUP(A41,'Estado SCI'!$A$16:$G$59,7,0)="","",VLOOKUP(A41,'Estado SCI'!$A$16:$G$59,7,0))</f>
        <v>Si</v>
      </c>
      <c r="J41" s="148">
        <f t="shared" si="2"/>
        <v>1</v>
      </c>
      <c r="K41" s="149">
        <f t="shared" si="1"/>
        <v>1</v>
      </c>
    </row>
    <row r="42" spans="1:11">
      <c r="A42" s="147" t="s">
        <v>241</v>
      </c>
      <c r="B42" s="147" t="s">
        <v>131</v>
      </c>
      <c r="C42" s="147" t="s">
        <v>92</v>
      </c>
      <c r="D42" s="147" t="s">
        <v>38</v>
      </c>
      <c r="E42" s="147" t="s">
        <v>149</v>
      </c>
      <c r="F42" s="147" t="str">
        <f>+VLOOKUP(A42,'Estado SCI'!$A$16:$I$59,9,0)</f>
        <v>Mantenimiento del control</v>
      </c>
      <c r="G42" s="147">
        <f>+VLOOKUP(A42,'Estado SCI'!$A$16:$L$59,12,0)</f>
        <v>120.85123456700001</v>
      </c>
      <c r="H42" s="147">
        <f t="shared" si="0"/>
        <v>41</v>
      </c>
      <c r="I42" s="147" t="str">
        <f>+IF(VLOOKUP(A42,'Estado SCI'!$A$16:$G$59,7,0)="","",VLOOKUP(A42,'Estado SCI'!$A$16:$G$59,7,0))</f>
        <v>Si</v>
      </c>
      <c r="J42" s="148">
        <f t="shared" si="2"/>
        <v>1</v>
      </c>
      <c r="K42" s="149">
        <f t="shared" si="1"/>
        <v>1</v>
      </c>
    </row>
    <row r="43" spans="1:11">
      <c r="A43" s="147" t="s">
        <v>242</v>
      </c>
      <c r="B43" s="147" t="s">
        <v>131</v>
      </c>
      <c r="C43" s="147" t="s">
        <v>92</v>
      </c>
      <c r="D43" s="147" t="s">
        <v>41</v>
      </c>
      <c r="E43" s="147" t="s">
        <v>151</v>
      </c>
      <c r="F43" s="147" t="str">
        <f>+VLOOKUP(A43,'Estado SCI'!$A$16:$I$59,9,0)</f>
        <v>Mantenimiento del control</v>
      </c>
      <c r="G43" s="147">
        <f>+VLOOKUP(A43,'Estado SCI'!$A$16:$L$59,12,0)</f>
        <v>120.85123456780001</v>
      </c>
      <c r="H43" s="147">
        <f t="shared" si="0"/>
        <v>42</v>
      </c>
      <c r="I43" s="147" t="str">
        <f>+IF(VLOOKUP(A43,'Estado SCI'!$A$16:$G$59,7,0)="","",VLOOKUP(A43,'Estado SCI'!$A$16:$G$59,7,0))</f>
        <v>Si</v>
      </c>
      <c r="J43" s="148">
        <f t="shared" si="2"/>
        <v>1</v>
      </c>
      <c r="K43" s="149">
        <f t="shared" si="1"/>
        <v>1</v>
      </c>
    </row>
    <row r="44" spans="1:11">
      <c r="A44" s="147" t="s">
        <v>243</v>
      </c>
      <c r="B44" s="147" t="s">
        <v>131</v>
      </c>
      <c r="C44" s="147" t="s">
        <v>92</v>
      </c>
      <c r="D44" s="147" t="s">
        <v>44</v>
      </c>
      <c r="E44" s="147" t="s">
        <v>153</v>
      </c>
      <c r="F44" s="147" t="str">
        <f>+VLOOKUP(A44,'Estado SCI'!$A$16:$I$59,9,0)</f>
        <v>Mantenimiento del control</v>
      </c>
      <c r="G44" s="147">
        <f>+VLOOKUP(A44,'Estado SCI'!$A$16:$L$59,12,0)</f>
        <v>120.85123456789</v>
      </c>
      <c r="H44" s="147">
        <f t="shared" si="0"/>
        <v>43</v>
      </c>
      <c r="I44" s="147" t="str">
        <f>+IF(VLOOKUP(A44,'Estado SCI'!$A$16:$G$59,7,0)="","",VLOOKUP(A44,'Estado SCI'!$A$16:$G$59,7,0))</f>
        <v>Si</v>
      </c>
      <c r="J44" s="148">
        <f t="shared" si="2"/>
        <v>1</v>
      </c>
      <c r="K44" s="149">
        <f t="shared" si="1"/>
        <v>1</v>
      </c>
    </row>
    <row r="45" spans="1:11">
      <c r="A45" s="147" t="s">
        <v>244</v>
      </c>
      <c r="B45" s="147" t="s">
        <v>131</v>
      </c>
      <c r="C45" s="147" t="s">
        <v>92</v>
      </c>
      <c r="D45" s="147" t="s">
        <v>48</v>
      </c>
      <c r="E45" s="147" t="s">
        <v>155</v>
      </c>
      <c r="F45" s="147" t="str">
        <f>+VLOOKUP(A45,'Estado SCI'!$A$16:$I$59,9,0)</f>
        <v>Mantenimiento del control</v>
      </c>
      <c r="G45" s="147">
        <f>+VLOOKUP(A45,'Estado SCI'!$A$16:$L$59,12,0)</f>
        <v>120.851234567891</v>
      </c>
      <c r="H45" s="147">
        <f t="shared" si="0"/>
        <v>44</v>
      </c>
      <c r="I45" s="147" t="str">
        <f>+IF(VLOOKUP(A45,'Estado SCI'!$A$16:$G$59,7,0)="","",VLOOKUP(A45,'Estado SCI'!$A$16:$G$59,7,0))</f>
        <v>Si</v>
      </c>
      <c r="J45" s="148">
        <f t="shared" si="2"/>
        <v>1</v>
      </c>
      <c r="K45" s="149">
        <f t="shared" si="1"/>
        <v>1</v>
      </c>
    </row>
  </sheetData>
  <sheetProtection algorithmName="SHA-512" hashValue="eXgkKlTi9xJKAI7t6Aeb2RaFpkfyF43pI2BIhtxDc7hsl0SqLK8I4Wc7jbZwC5kw3uyIHOBIUXRnh5cC70LKYA==" saltValue="AxKzX6Ar80vT7acQV8rFpQ==" spinCount="100000" sheet="1" objects="1" scenarios="1" selectLockedCells="1"/>
  <autoFilter ref="A1:K45"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2" ma:contentTypeDescription="Crear nuevo documento." ma:contentTypeScope="" ma:versionID="a8153bdb4519288626c5dc3e6e632e56">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66f24f92556df3ebf0596e0cc92ed148"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955478-6DB2-4060-9D96-3C6C0F2F42A4}"/>
</file>

<file path=customXml/itemProps2.xml><?xml version="1.0" encoding="utf-8"?>
<ds:datastoreItem xmlns:ds="http://schemas.openxmlformats.org/officeDocument/2006/customXml" ds:itemID="{FE8A5AAD-ADB7-4F88-8C39-520D22FF8479}"/>
</file>

<file path=customXml/itemProps3.xml><?xml version="1.0" encoding="utf-8"?>
<ds:datastoreItem xmlns:ds="http://schemas.openxmlformats.org/officeDocument/2006/customXml" ds:itemID="{CEE3E49F-A880-45C4-A60C-35F3214764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 Juntas Piso 6</dc:creator>
  <cp:keywords/>
  <dc:description/>
  <cp:lastModifiedBy/>
  <cp:revision/>
  <dcterms:created xsi:type="dcterms:W3CDTF">2020-04-28T13:58:09Z</dcterms:created>
  <dcterms:modified xsi:type="dcterms:W3CDTF">2023-07-06T01:36:37Z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0x010100E838DD27C842C245A4474A2A7556E812</vt:lpwstr>
  </property>
  <property fmtid="{D5CDD505-2E9C-101B-9397-08002B2CF9AE}" pid="3" name="MediaServiceImageTags">
    <vt:lpwstr/>
  </property>
</Properties>
</file>